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10545"/>
  </bookViews>
  <sheets>
    <sheet name="BOM" sheetId="1" r:id="rId1"/>
    <sheet name="Master Data Sheet" sheetId="6" r:id="rId2"/>
  </sheets>
  <definedNames>
    <definedName name="_Bed2">'Master Data Sheet'!$A$4:$A$6</definedName>
    <definedName name="_xlnm._FilterDatabase" localSheetId="0" hidden="1">BOM!$E$3:$J$66</definedName>
    <definedName name="Bed">'Master Data Sheet'!$A$4:$A$5</definedName>
    <definedName name="Board">'Master Data Sheet'!$A$71:$A$77</definedName>
    <definedName name="Board2">'Master Data Sheet'!$A$71:$A$76</definedName>
    <definedName name="Extruder">'Master Data Sheet'!$A$22:$A$31</definedName>
    <definedName name="Lead">'Master Data Sheet'!#REF!</definedName>
    <definedName name="Power">'Master Data Sheet'!$A$65:$A$68</definedName>
    <definedName name="Pulleys">'Master Data Sheet'!$A$14:$A$15</definedName>
    <definedName name="Units">'Master Data Sheet'!$A$33:$A$35</definedName>
  </definedNames>
  <calcPr calcId="114210"/>
</workbook>
</file>

<file path=xl/calcChain.xml><?xml version="1.0" encoding="utf-8"?>
<calcChain xmlns="http://schemas.openxmlformats.org/spreadsheetml/2006/main">
  <c r="E51" i="1"/>
  <c r="E54"/>
  <c r="J54"/>
  <c r="G52"/>
  <c r="C30"/>
  <c r="G51"/>
  <c r="E53"/>
  <c r="J53"/>
  <c r="I53"/>
  <c r="H53"/>
  <c r="E52"/>
  <c r="J52"/>
  <c r="G24"/>
  <c r="J27"/>
  <c r="E44"/>
  <c r="E49"/>
  <c r="E48"/>
  <c r="E47"/>
  <c r="E46"/>
  <c r="E45"/>
  <c r="E42"/>
  <c r="E41"/>
  <c r="E40"/>
  <c r="E58"/>
  <c r="H62"/>
  <c r="H61"/>
  <c r="H60"/>
  <c r="H59"/>
  <c r="H58"/>
  <c r="E62"/>
  <c r="E60"/>
  <c r="E59"/>
  <c r="I38"/>
  <c r="J25"/>
  <c r="H24"/>
  <c r="I24"/>
  <c r="I25"/>
  <c r="H25"/>
  <c r="E25"/>
  <c r="J50"/>
  <c r="B81" i="6"/>
  <c r="E88"/>
  <c r="B88"/>
  <c r="E87"/>
  <c r="E86"/>
  <c r="F85"/>
  <c r="D85"/>
  <c r="E85"/>
  <c r="C85"/>
  <c r="B85"/>
  <c r="D84"/>
  <c r="E84"/>
  <c r="C84"/>
  <c r="F83"/>
  <c r="D83"/>
  <c r="E83"/>
  <c r="C83"/>
  <c r="B83"/>
  <c r="F82"/>
  <c r="D82"/>
  <c r="E82"/>
  <c r="C82"/>
  <c r="B82"/>
  <c r="F81"/>
  <c r="D81"/>
  <c r="E81"/>
  <c r="C81"/>
  <c r="H27" i="1"/>
  <c r="I27"/>
  <c r="I44"/>
  <c r="J40"/>
  <c r="I47"/>
  <c r="J24"/>
  <c r="J49"/>
  <c r="I32"/>
  <c r="I31"/>
  <c r="I48"/>
  <c r="J46"/>
  <c r="J45"/>
  <c r="J44"/>
  <c r="I42"/>
  <c r="H41"/>
  <c r="G61"/>
  <c r="E65"/>
  <c r="C51"/>
  <c r="F27"/>
  <c r="F25"/>
  <c r="H57"/>
  <c r="I57"/>
  <c r="J57"/>
  <c r="J66"/>
  <c r="H66"/>
  <c r="I66"/>
  <c r="G57"/>
  <c r="C55"/>
  <c r="J51"/>
  <c r="I49"/>
  <c r="H49"/>
  <c r="I46"/>
  <c r="H46"/>
  <c r="H50"/>
  <c r="I50"/>
  <c r="G62"/>
  <c r="G60"/>
  <c r="G59"/>
  <c r="G58"/>
  <c r="I62"/>
  <c r="I61"/>
  <c r="I60"/>
  <c r="I59"/>
  <c r="I58"/>
  <c r="J62"/>
  <c r="J60"/>
  <c r="J59"/>
  <c r="J58"/>
  <c r="I63"/>
  <c r="I28"/>
  <c r="I29"/>
  <c r="I30"/>
  <c r="I56"/>
  <c r="I64"/>
  <c r="I65"/>
  <c r="G25"/>
  <c r="J48"/>
  <c r="H45"/>
  <c r="H47"/>
  <c r="I45"/>
  <c r="H44"/>
  <c r="J41"/>
  <c r="I41"/>
  <c r="H40"/>
  <c r="I40"/>
  <c r="H42"/>
  <c r="H48"/>
  <c r="C68"/>
  <c r="C70"/>
  <c r="C69"/>
  <c r="I68"/>
  <c r="J42"/>
  <c r="I55"/>
  <c r="I69"/>
  <c r="J47"/>
  <c r="C71"/>
  <c r="I70"/>
</calcChain>
</file>

<file path=xl/comments1.xml><?xml version="1.0" encoding="utf-8"?>
<comments xmlns="http://schemas.openxmlformats.org/spreadsheetml/2006/main">
  <authors>
    <author>Chris</author>
    <author>lauc</author>
  </authors>
  <commentList>
    <comment ref="E24" authorId="0">
      <text>
        <r>
          <rPr>
            <b/>
            <sz val="9"/>
            <color indexed="81"/>
            <rFont val="Tahoma"/>
            <family val="2"/>
          </rPr>
          <t>Select build area setup</t>
        </r>
      </text>
    </comment>
    <comment ref="J24" authorId="1">
      <text>
        <r>
          <rPr>
            <b/>
            <sz val="8"/>
            <color indexed="81"/>
            <rFont val="Tahoma"/>
          </rPr>
          <t>Can check Ebay</t>
        </r>
      </text>
    </comment>
    <comment ref="E25" authorId="1">
      <text>
        <r>
          <rPr>
            <b/>
            <sz val="8"/>
            <color indexed="81"/>
            <rFont val="Tahoma"/>
          </rPr>
          <t>Linked to HBP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Need to clip corners to fit</t>
        </r>
      </text>
    </comment>
    <comment ref="G26" authorId="1">
      <text>
        <r>
          <rPr>
            <b/>
            <sz val="8"/>
            <color indexed="81"/>
            <rFont val="Tahoma"/>
          </rPr>
          <t>Cut in half</t>
        </r>
      </text>
    </comment>
    <comment ref="G27" authorId="1">
      <text>
        <r>
          <rPr>
            <b/>
            <sz val="8"/>
            <color indexed="81"/>
            <rFont val="Tahoma"/>
          </rPr>
          <t>Alternative source
http://techpaladin.com/store/#!/~/product/category=1941327&amp;id=18833859</t>
        </r>
      </text>
    </comment>
    <comment ref="G28" authorId="1">
      <text>
        <r>
          <rPr>
            <b/>
            <sz val="8"/>
            <color indexed="81"/>
            <rFont val="Tahoma"/>
          </rPr>
          <t>Alternative source
http://techpaladin.com/store/#ecwid:category=1941327&amp;mode=product&amp;product=9001827</t>
        </r>
      </text>
    </comment>
    <comment ref="G30" authorId="1">
      <text>
        <r>
          <rPr>
            <b/>
            <sz val="8"/>
            <color indexed="81"/>
            <rFont val="Tahoma"/>
          </rPr>
          <t>Buy Extras</t>
        </r>
      </text>
    </comment>
    <comment ref="G31" authorId="1">
      <text>
        <r>
          <rPr>
            <b/>
            <sz val="8"/>
            <color indexed="81"/>
            <rFont val="Tahoma"/>
          </rPr>
          <t>Buy a bundle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(Pkg Qty = 100)</t>
        </r>
      </text>
    </comment>
    <comment ref="J34" authorId="0">
      <text>
        <r>
          <rPr>
            <b/>
            <sz val="9"/>
            <color indexed="81"/>
            <rFont val="Tahoma"/>
            <family val="2"/>
          </rPr>
          <t>(Pkg Qty = 100)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(Pkg Qty = 50)</t>
        </r>
      </text>
    </comment>
    <comment ref="J36" authorId="0">
      <text>
        <r>
          <rPr>
            <b/>
            <sz val="9"/>
            <color indexed="81"/>
            <rFont val="Tahoma"/>
            <family val="2"/>
          </rPr>
          <t>(Pkg Qty = 100)</t>
        </r>
        <r>
          <rPr>
            <sz val="9"/>
            <color indexed="81"/>
            <rFont val="Tahoma"/>
            <family val="2"/>
          </rPr>
          <t>)</t>
        </r>
      </text>
    </comment>
    <comment ref="J37" authorId="0">
      <text>
        <r>
          <rPr>
            <b/>
            <sz val="9"/>
            <color indexed="81"/>
            <rFont val="Tahoma"/>
            <family val="2"/>
          </rPr>
          <t>(Pkg Qty = 100)</t>
        </r>
      </text>
    </comment>
    <comment ref="G38" authorId="1">
      <text>
        <r>
          <rPr>
            <b/>
            <sz val="8"/>
            <color indexed="81"/>
            <rFont val="Tahoma"/>
          </rPr>
          <t>Purchase 3 orders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36" per purchase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Select Metric or English
They are both similar in size</t>
        </r>
      </text>
    </comment>
    <comment ref="G40" authorId="1">
      <text>
        <r>
          <rPr>
            <b/>
            <sz val="8"/>
            <color indexed="81"/>
            <rFont val="Tahoma"/>
          </rPr>
          <t xml:space="preserve">If using M6 x 110mm, disregard the use of M6 washers,
120mm only comes in partially threaded 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(Pkg Qty = 5)</t>
        </r>
      </text>
    </comment>
    <comment ref="J41" authorId="0">
      <text>
        <r>
          <rPr>
            <b/>
            <sz val="9"/>
            <color indexed="81"/>
            <rFont val="Tahoma"/>
            <family val="2"/>
          </rPr>
          <t>(Pkg Qty = 100)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>(Pkg Qty = 100)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Select Metric or English
They are both similar in size</t>
        </r>
      </text>
    </comment>
    <comment ref="J44" authorId="0">
      <text>
        <r>
          <rPr>
            <b/>
            <sz val="9"/>
            <color indexed="81"/>
            <rFont val="Tahoma"/>
            <family val="2"/>
          </rPr>
          <t>(Pkg Qty = 5)</t>
        </r>
      </text>
    </comment>
    <comment ref="J45" authorId="0">
      <text>
        <r>
          <rPr>
            <b/>
            <sz val="9"/>
            <color indexed="81"/>
            <rFont val="Tahoma"/>
            <family val="2"/>
          </rPr>
          <t>(Pkg Qty = 100)</t>
        </r>
      </text>
    </comment>
    <comment ref="J46" authorId="0">
      <text>
        <r>
          <rPr>
            <b/>
            <sz val="9"/>
            <color indexed="81"/>
            <rFont val="Tahoma"/>
            <family val="2"/>
          </rPr>
          <t>(Pkg Qty = 100)</t>
        </r>
      </text>
    </comment>
    <comment ref="G47" authorId="1">
      <text>
        <r>
          <rPr>
            <b/>
            <sz val="8"/>
            <color indexed="81"/>
            <rFont val="Tahoma"/>
          </rPr>
          <t>Purchase 4 orders of threaded rods and cut to length</t>
        </r>
      </text>
    </comment>
    <comment ref="J47" authorId="0">
      <text>
        <r>
          <rPr>
            <b/>
            <sz val="9"/>
            <color indexed="81"/>
            <rFont val="Tahoma"/>
            <family val="2"/>
          </rPr>
          <t>36" or 1 Meter per purchase</t>
        </r>
      </text>
    </comment>
    <comment ref="G49" authorId="0">
      <text>
        <r>
          <rPr>
            <b/>
            <sz val="9"/>
            <color indexed="81"/>
            <rFont val="Tahoma"/>
            <charset val="1"/>
          </rPr>
          <t xml:space="preserve">Alternative Lead Screws
English
</t>
        </r>
        <r>
          <rPr>
            <sz val="9"/>
            <color indexed="81"/>
            <rFont val="Tahoma"/>
            <family val="2"/>
          </rPr>
          <t xml:space="preserve">Acme 1/4"-16 x 12" </t>
        </r>
        <r>
          <rPr>
            <b/>
            <sz val="9"/>
            <color indexed="81"/>
            <rFont val="Tahoma"/>
            <charset val="1"/>
          </rPr>
          <t xml:space="preserve">
or
Metric
</t>
        </r>
        <r>
          <rPr>
            <sz val="9"/>
            <color indexed="81"/>
            <rFont val="Tahoma"/>
            <family val="2"/>
          </rPr>
          <t>M6 Threaded Rod x 300mm 
**Will need to print an M8 to M6 nut adapter**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>Select Extruder System w/ or w/o Geared Wade Extruder</t>
        </r>
      </text>
    </comment>
    <comment ref="G50" authorId="0">
      <text>
        <r>
          <rPr>
            <b/>
            <sz val="9"/>
            <color indexed="81"/>
            <rFont val="Tahoma"/>
            <family val="2"/>
          </rPr>
          <t xml:space="preserve">Wade Extruder needs to be printed, requires additional materials. </t>
        </r>
      </text>
    </comment>
    <comment ref="G51" authorId="1">
      <text>
        <r>
          <rPr>
            <b/>
            <sz val="8"/>
            <color indexed="81"/>
            <rFont val="Tahoma"/>
          </rPr>
          <t>Linked to Extruder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5 motors if using Wade Extruder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(all 4)</t>
        </r>
      </text>
    </comment>
    <comment ref="G58" authorId="0">
      <text>
        <r>
          <rPr>
            <b/>
            <sz val="9"/>
            <color indexed="81"/>
            <rFont val="Tahoma"/>
            <family val="2"/>
          </rPr>
          <t>Buy extras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Buy extras</t>
        </r>
      </text>
    </comment>
    <comment ref="G60" authorId="0">
      <text>
        <r>
          <rPr>
            <b/>
            <sz val="9"/>
            <color indexed="81"/>
            <rFont val="Tahoma"/>
            <family val="2"/>
          </rPr>
          <t>Buy extras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Buy extras</t>
        </r>
      </text>
    </comment>
    <comment ref="G62" authorId="0">
      <text>
        <r>
          <rPr>
            <b/>
            <sz val="9"/>
            <color indexed="81"/>
            <rFont val="Tahoma"/>
            <family val="2"/>
          </rPr>
          <t>Buy extras</t>
        </r>
      </text>
    </comment>
    <comment ref="G63" authorId="0">
      <text>
        <r>
          <rPr>
            <b/>
            <sz val="9"/>
            <color indexed="81"/>
            <rFont val="Tahoma"/>
            <family val="2"/>
          </rPr>
          <t>Buy extras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>Select Power Supply
Leave blank for none</t>
        </r>
      </text>
    </comment>
  </commentList>
</comments>
</file>

<file path=xl/comments2.xml><?xml version="1.0" encoding="utf-8"?>
<comments xmlns="http://schemas.openxmlformats.org/spreadsheetml/2006/main">
  <authors>
    <author>Chris</author>
  </authors>
  <commentList>
    <comment ref="D38" authorId="0">
      <text>
        <r>
          <rPr>
            <b/>
            <sz val="9"/>
            <color indexed="81"/>
            <rFont val="Tahoma"/>
            <family val="2"/>
          </rPr>
          <t>(Pkg Qty = 5)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(Pkg Qty = 100)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(Pkg Qty = 100)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(Pkg Qty = 100)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(Pkg Qty = 100)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Purchase 4 meters or 4 yard worth.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(Pkg Qty = 100)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(Pkg Qty = 100)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(Pkg Qty = 50)</t>
        </r>
      </text>
    </comment>
    <comment ref="C81" authorId="0">
      <text>
        <r>
          <rPr>
            <b/>
            <sz val="9"/>
            <color indexed="81"/>
            <rFont val="Tahoma"/>
            <family val="2"/>
          </rPr>
          <t>Buy extras</t>
        </r>
      </text>
    </comment>
    <comment ref="C82" authorId="0">
      <text>
        <r>
          <rPr>
            <b/>
            <sz val="9"/>
            <color indexed="81"/>
            <rFont val="Tahoma"/>
            <family val="2"/>
          </rPr>
          <t>Buy extras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Buy extras</t>
        </r>
      </text>
    </comment>
    <comment ref="C84" authorId="0">
      <text>
        <r>
          <rPr>
            <b/>
            <sz val="9"/>
            <color indexed="81"/>
            <rFont val="Tahoma"/>
            <family val="2"/>
          </rPr>
          <t>Buy extras</t>
        </r>
      </text>
    </comment>
    <comment ref="C85" authorId="0">
      <text>
        <r>
          <rPr>
            <b/>
            <sz val="9"/>
            <color indexed="81"/>
            <rFont val="Tahoma"/>
            <family val="2"/>
          </rPr>
          <t>Buy extras</t>
        </r>
      </text>
    </comment>
    <comment ref="C86" authorId="0">
      <text>
        <r>
          <rPr>
            <b/>
            <sz val="9"/>
            <color indexed="81"/>
            <rFont val="Tahoma"/>
            <family val="2"/>
          </rPr>
          <t>Buy extras</t>
        </r>
      </text>
    </comment>
  </commentList>
</comments>
</file>

<file path=xl/sharedStrings.xml><?xml version="1.0" encoding="utf-8"?>
<sst xmlns="http://schemas.openxmlformats.org/spreadsheetml/2006/main" count="362" uniqueCount="228">
  <si>
    <t>ITEM NO.</t>
  </si>
  <si>
    <t>QTY.</t>
  </si>
  <si>
    <t>PART NAME</t>
  </si>
  <si>
    <t>DESCRIPTION</t>
  </si>
  <si>
    <t>Source</t>
  </si>
  <si>
    <t>X End Motor</t>
  </si>
  <si>
    <t>X End Idler</t>
  </si>
  <si>
    <t>X Carriage</t>
  </si>
  <si>
    <t>Extruder mount</t>
  </si>
  <si>
    <t>Frame Brace</t>
  </si>
  <si>
    <t>X &amp; Y Brace</t>
  </si>
  <si>
    <t>Z Endstop - Knob Housing</t>
  </si>
  <si>
    <t>Z Endstop - Endstop Housing</t>
  </si>
  <si>
    <t>Endstop for X &amp; Y</t>
  </si>
  <si>
    <t>Knob</t>
  </si>
  <si>
    <t>Belt pulleys for X &amp; Y</t>
  </si>
  <si>
    <t>LM8UU</t>
  </si>
  <si>
    <t>Linear Bearings</t>
  </si>
  <si>
    <t>Pulley drive system</t>
  </si>
  <si>
    <t>GT2 Belt</t>
  </si>
  <si>
    <t>https://www.lulzbot.com/?q=products/gt2-1164mm-6mm-belt</t>
  </si>
  <si>
    <t>608 Skate Bearing</t>
  </si>
  <si>
    <t>M3 Socket x 10mm</t>
  </si>
  <si>
    <t>M3 Socket x 18mm</t>
  </si>
  <si>
    <t>M3 socket x 25mm</t>
  </si>
  <si>
    <t>M3 hex nut</t>
  </si>
  <si>
    <t>M3 washer</t>
  </si>
  <si>
    <t>M6 hex nut</t>
  </si>
  <si>
    <t>M6 Washer</t>
  </si>
  <si>
    <t>M8 Bolt x 30mm</t>
  </si>
  <si>
    <t>X &amp; Y Pulleys</t>
  </si>
  <si>
    <t>X, Y &amp; Z linear rails (cut to length)</t>
  </si>
  <si>
    <t>Y Gantry (cut to length)</t>
  </si>
  <si>
    <t>M8 Threaded Rod x 300mm</t>
  </si>
  <si>
    <t>Lead Screw Drive (cut to length)</t>
  </si>
  <si>
    <t>Extruder (Sub Assembly)</t>
  </si>
  <si>
    <t>http://store.qu-bd.com/product.php?id_product=11</t>
  </si>
  <si>
    <t>NEMA17 Stepper Motor</t>
  </si>
  <si>
    <t>1 - X Axis
1 - Y Axis
2 - Z Axis</t>
  </si>
  <si>
    <t>Mechanical Endstop</t>
  </si>
  <si>
    <t>Mechanical end-stops</t>
  </si>
  <si>
    <t>Total Vitamin</t>
  </si>
  <si>
    <t>Total Cost</t>
  </si>
  <si>
    <t>Bed</t>
  </si>
  <si>
    <t>152mm x 152mm HBP (ABS &amp; PLA)</t>
  </si>
  <si>
    <t>Aluminum Plate (PLA Only)</t>
  </si>
  <si>
    <t>Electronics</t>
  </si>
  <si>
    <t>Pulleys</t>
  </si>
  <si>
    <t>Extruder</t>
  </si>
  <si>
    <t>18 gauge wires</t>
  </si>
  <si>
    <t>Z Housing assembly</t>
  </si>
  <si>
    <t>Y Axis assembly</t>
  </si>
  <si>
    <t>X Axis assembly</t>
  </si>
  <si>
    <t xml:space="preserve">Build Platform &amp; Z endstop </t>
  </si>
  <si>
    <t>http://www.digikey.com/scripts/dksearch/dksus.dll?vendor=0&amp;keywords=SS-3GL13PT</t>
  </si>
  <si>
    <t>http://www.lulzbot.com/?q=products/12vdc-20a-240w-power-supply</t>
  </si>
  <si>
    <t>Printed GT2 pulley</t>
  </si>
  <si>
    <t>Nuts &amp; Bolts</t>
  </si>
  <si>
    <t>Printed Parts</t>
  </si>
  <si>
    <t>M8 Hex nut</t>
  </si>
  <si>
    <t>M8 Washer</t>
  </si>
  <si>
    <t>Metric</t>
  </si>
  <si>
    <t>Units</t>
  </si>
  <si>
    <t xml:space="preserve">http://www.lulzbot.com/?q=products/nema-17-stepper-motors#tab-field-specifications  </t>
  </si>
  <si>
    <t>http://www.mcmaster.com/#92820A435</t>
  </si>
  <si>
    <t>http://www.mcmaster.com/#91292A113</t>
  </si>
  <si>
    <t>http://www.mcmaster.com/#92095A186</t>
  </si>
  <si>
    <t>http://www.mcmaster.com/#91292A029</t>
  </si>
  <si>
    <t>http://www.mcmaster.com/#90592A009</t>
  </si>
  <si>
    <t>http://www.mcmaster.com/#91166A210</t>
  </si>
  <si>
    <t>http://www.mcmaster.com/#90591A151</t>
  </si>
  <si>
    <t>http://www.mcmaster.com/#91166A250</t>
  </si>
  <si>
    <t>http://www.mcmaster.com/#90591A161</t>
  </si>
  <si>
    <t>http://www.mcmaster.com/#91166A270</t>
  </si>
  <si>
    <t>http://www.mcmaster.com/#88625K67</t>
  </si>
  <si>
    <t>http://www.mcmaster.com/#90108A411</t>
  </si>
  <si>
    <t>1/4 inch x 5 inch Bolt</t>
  </si>
  <si>
    <t>1/4 inch hex nut</t>
  </si>
  <si>
    <t>5/16 inch Hex Nut</t>
  </si>
  <si>
    <t>1/4 inch (ID = 5/16 inch) Washer</t>
  </si>
  <si>
    <t>5/16-18 x 12 inches Threaded Rod</t>
  </si>
  <si>
    <t>http://www.mcmaster.com/#90473A030</t>
  </si>
  <si>
    <t>http://www.mcmaster.com/#90108A413</t>
  </si>
  <si>
    <t>#18-8 Washer (ID = 1/4 inch)</t>
  </si>
  <si>
    <t>Power Supply</t>
  </si>
  <si>
    <t>ATX Power Supply</t>
  </si>
  <si>
    <t>12vDC 20A 240W Power Supply</t>
  </si>
  <si>
    <t>Unit Price ($)</t>
  </si>
  <si>
    <t>Price ($)</t>
  </si>
  <si>
    <t>Adjustable Z Endstop assembly</t>
  </si>
  <si>
    <t>http://www.mcmaster.com/#90490A029</t>
  </si>
  <si>
    <t>MBE Extruder V9 (1.75mm) (Comes with motor)</t>
  </si>
  <si>
    <t>5/16-18 x 18 inches Threaded Rod</t>
  </si>
  <si>
    <t>5/16-18 x 16 inches Threaded Rod</t>
  </si>
  <si>
    <t>--------</t>
  </si>
  <si>
    <t>CATEGORY</t>
  </si>
  <si>
    <t>Hardware</t>
  </si>
  <si>
    <t>Electronics Total Cost</t>
  </si>
  <si>
    <t>Hardware Total Cost</t>
  </si>
  <si>
    <t>TOTAL Parts</t>
  </si>
  <si>
    <t>8mm drill rod x 450mm</t>
  </si>
  <si>
    <t>M8 Threaded Rod x 450mm</t>
  </si>
  <si>
    <t>M8 Threaded Rod x 400mm</t>
  </si>
  <si>
    <t>Data Table **DO NOT TOUCH**</t>
  </si>
  <si>
    <t>http://www.mcmaster.com/#98957A634</t>
  </si>
  <si>
    <t>http://www.mcmaster.com/#98861A080</t>
  </si>
  <si>
    <t>X Gantry &amp; Z Stabalizer (cut to length)</t>
  </si>
  <si>
    <t>Total Printed Parts</t>
  </si>
  <si>
    <t>Total Electronics</t>
  </si>
  <si>
    <t>SELECT UNITS</t>
  </si>
  <si>
    <t>Compressible Spring</t>
  </si>
  <si>
    <t>https://www.hotends.com/index.php?route=product/product&amp;product_id=83</t>
  </si>
  <si>
    <t>http://printrbot.com/shop/3mm-ubis-cartridge-hot-end/</t>
  </si>
  <si>
    <t>http://e3d-online.com/ourshop/prod_2567052-E3Dv4-All-metal-HotEnd-2-Week-PreOrder.html</t>
  </si>
  <si>
    <t>2-pin header</t>
  </si>
  <si>
    <t>http://www.digikey.com/product-detail/en/0022272021/WM4111-ND/1130577</t>
  </si>
  <si>
    <t>Adjusting Print Bed and Z Endstop</t>
  </si>
  <si>
    <t>Belt Pulleys</t>
  </si>
  <si>
    <t>12vDC with at least 20 amps</t>
  </si>
  <si>
    <t>Y Carriage assembly</t>
  </si>
  <si>
    <t xml:space="preserve">Y End Motor </t>
  </si>
  <si>
    <t>Y End Idler</t>
  </si>
  <si>
    <t>Board</t>
  </si>
  <si>
    <t>RAMPS 1.4 Kit</t>
  </si>
  <si>
    <t>http://www.makerfarm.com/index.php/printer-electronics/ramps.html</t>
  </si>
  <si>
    <t>Kit w/ wires and end stops</t>
  </si>
  <si>
    <t>SELECT BOARD</t>
  </si>
  <si>
    <t>SELECT EXTRUDER SYSTEM</t>
  </si>
  <si>
    <t>Local electronic store</t>
  </si>
  <si>
    <t>Hotend connectors</t>
  </si>
  <si>
    <t>Wires for Printrboard, 2 - 4 colors</t>
  </si>
  <si>
    <t>Selectable</t>
  </si>
  <si>
    <t>Heat Bed &amp; Hotend if it's not supplied during purchase</t>
  </si>
  <si>
    <t>2-pin housing</t>
  </si>
  <si>
    <t>http://www.digikey.com/product-detail/en/0022013027/WM2000-ND/26431?cur=USD</t>
  </si>
  <si>
    <t>SELECT POWER SUPPLY</t>
  </si>
  <si>
    <t>Zip Ties</t>
  </si>
  <si>
    <t>To secure LM8UU bearings on the X ends.</t>
  </si>
  <si>
    <t>Local Hardware store</t>
  </si>
  <si>
    <t>For Z couplings, inserted on Z motor shaft</t>
  </si>
  <si>
    <t>http://www.mcmaster.com/#standard-vinyl-tubing/=mry334</t>
  </si>
  <si>
    <t xml:space="preserve">Vinyl tubing (L x OD x ID)
3/4" x 1/4" x 3/16" 
(3cm x 6.35mm x 4.32mm)
</t>
  </si>
  <si>
    <t>http://www.makerfarm.com/index.php/printer-electronics/6x6-heat-bed.html</t>
  </si>
  <si>
    <t>http://www.mcmaster.com/#88685K1</t>
  </si>
  <si>
    <t>Top Z Stabilizer</t>
  </si>
  <si>
    <t>Belt Idler 608</t>
  </si>
  <si>
    <t>Endstop mount</t>
  </si>
  <si>
    <t>Z Rod Brace</t>
  </si>
  <si>
    <t>Z Coupling</t>
  </si>
  <si>
    <t>M6 Bolt x 110mm</t>
  </si>
  <si>
    <t>http://www.boltdepot.com/Product-Details.aspx?product=11108</t>
  </si>
  <si>
    <t>http://www.boltdepot.com/Product-Details.aspx?product=9017</t>
  </si>
  <si>
    <t>http://www.boltdepot.com/Product-Details.aspx?product=3830</t>
  </si>
  <si>
    <t>5/16 inch x 1-1/2 inch Bolt</t>
  </si>
  <si>
    <t>Y Carriage Extender_A</t>
  </si>
  <si>
    <t>Y Carriage Extender_B</t>
  </si>
  <si>
    <t>Extenders for 200mm x 200mm HBP</t>
  </si>
  <si>
    <t>200mm x 200mm HPB (ABS &amp; PLA)</t>
  </si>
  <si>
    <t>http://www.makerfarm.com/index.php/printer-electronics/heatbed-mk1.html</t>
  </si>
  <si>
    <t>152mm x 152mm Boriscillate glass</t>
  </si>
  <si>
    <t>200mm x 200mm Boriscillate glass</t>
  </si>
  <si>
    <t>http://www.mcmaster.com/#8476K16</t>
  </si>
  <si>
    <t>No glass needed</t>
  </si>
  <si>
    <t>GT2 20 teeth pulley</t>
  </si>
  <si>
    <t>http://www.makerfarm.com/index.php/hardware/gt2-gear.html</t>
  </si>
  <si>
    <t>https://www.lulzbot.com/?q=products/gt2-16-teeth-timing-pulley</t>
  </si>
  <si>
    <t>http://www.makerfarm.com/index.php/hardware/1-foot-gt2-belt.html</t>
  </si>
  <si>
    <t>Belts</t>
  </si>
  <si>
    <t>SainSmart RAMPS 1.4 Kit</t>
  </si>
  <si>
    <t>http://www.sainsmart.com/sainsmart-mega2560-a4988-ramps-1-4-3d-printer-kit-for-arduino-reprap.html?___store=en&amp;___store=en</t>
  </si>
  <si>
    <t>Misc Electronics</t>
  </si>
  <si>
    <t>Ebay Suppliers</t>
  </si>
  <si>
    <t>http://stores.ebay.com/NY-PLATFORM?_trksid=p2047675.l2563</t>
  </si>
  <si>
    <t>http://www.sainsmart.com/</t>
  </si>
  <si>
    <t>http://3dprinterbits.biz/reprap-ramps/</t>
  </si>
  <si>
    <t>http://www.mcmaster.com/#92005A120</t>
  </si>
  <si>
    <t>http://www.mcmaster.com/#92005A127</t>
  </si>
  <si>
    <t>http://www.mcmaster.com/#92005A130</t>
  </si>
  <si>
    <t>M3 Pan Head Phillip x 10mm</t>
  </si>
  <si>
    <t>M3 Pan Head Phillip x 18mm</t>
  </si>
  <si>
    <t>M3 Pan Head Phillip x 25mm</t>
  </si>
  <si>
    <t>http://www.mcmaster.com/#8476K18</t>
  </si>
  <si>
    <t>Z Housing_Ver.2</t>
  </si>
  <si>
    <t>Y Carriage_A_Ver.2</t>
  </si>
  <si>
    <t>Y Carriage_B_Ver.2</t>
  </si>
  <si>
    <t>http://www.makerfarm.com/index.php/hot-end-parts/j-head-hot-end-for-1-75mm-filament.html</t>
  </si>
  <si>
    <t>Hotends</t>
  </si>
  <si>
    <t>Printrboard RevD (Official)</t>
  </si>
  <si>
    <t>Printrbot HQ w/ DFU Bootloaderhttp://printrbot.com/shop/printrboard-electronics/</t>
  </si>
  <si>
    <t>http://printrbot.com/shop/printrboard-electronics/</t>
  </si>
  <si>
    <t>Kit w/ wires</t>
  </si>
  <si>
    <t xml:space="preserve">US Customary system </t>
  </si>
  <si>
    <t>http://www.microcenter.com/product/349702/EL_Series_400W_ATX_Power_Supply</t>
  </si>
  <si>
    <t>http://www.mcmaster.com/#9657K56</t>
  </si>
  <si>
    <t>Bill of Material</t>
  </si>
  <si>
    <t>Direct Drive Vert-Xtruder - J Head Mk V-B HotEnd (1.75mm)</t>
  </si>
  <si>
    <t>Direct Drive Vert-Xtruder - Ubis Cartridge HotEnd (1.75mm)</t>
  </si>
  <si>
    <t>No Vert-Xtruder - J Head Mk V-B Hotend (1.75mm)</t>
  </si>
  <si>
    <t>No Vert-Xtruder  - Ubis Cartridge HotEnd (1.75mm)</t>
  </si>
  <si>
    <t>Direct Drive Vert-Xtruder</t>
  </si>
  <si>
    <t>http://www.thingiverse.com/thing:137806</t>
  </si>
  <si>
    <t>Extruder Parts</t>
  </si>
  <si>
    <t>MK7 filament drive gear</t>
  </si>
  <si>
    <t>Printed 608 lever (QUBD extruder mod by MickB)</t>
  </si>
  <si>
    <t>http://www.thingiverse.com/thing:43411</t>
  </si>
  <si>
    <t>Lever spring (OD = 10mm or 1/2 inch)</t>
  </si>
  <si>
    <t>Local hardware store</t>
  </si>
  <si>
    <t>http://www.geeetech.com/new-version-reprap-printerboard-reprap-electronics-sets-p-653.html</t>
  </si>
  <si>
    <t>https://ultimachine.com/content/608zz-bearing</t>
  </si>
  <si>
    <t>http://www.makerfarm.com/index.php/hardware/lm8uu-linear-bearing.html</t>
  </si>
  <si>
    <t>Direct Drive Vert-Xtruder - Hexagon All metal HotEnd (1.75mm,high temp)</t>
  </si>
  <si>
    <t xml:space="preserve">No Vert-Xtruder  - Hexagon All metal HotEnd (1.75mm,high temp) </t>
  </si>
  <si>
    <t>http://www.printedsolid.com/shop/printer-parts/hexagon/</t>
  </si>
  <si>
    <t>XBOX 360 Power Supply</t>
  </si>
  <si>
    <t>http://www.amazon.com/AC-Power-Supply-Microsoft-XBOX-360/dp/B000PT18OS</t>
  </si>
  <si>
    <t>GeeeTech w/ CDC Bootloader</t>
  </si>
  <si>
    <t>Printrboard RevD (Makerfarm)</t>
  </si>
  <si>
    <t>http://www.makerfarm.com/index.php/printer-electronics/printrboard-electronics-rev-d.html</t>
  </si>
  <si>
    <t>Makerfarm w/ CDC Bootloader</t>
  </si>
  <si>
    <t>Printrboard RevD (GEEETECH)</t>
  </si>
  <si>
    <t>http://printrbot.com/shop/1-75mm-ubis-hot-end/</t>
  </si>
  <si>
    <t>http://www.printedsolid.com/shop/e3d/e3dv6/</t>
  </si>
  <si>
    <t>Direct Drive Vert-Xtruder - E3D Hot End Kit – Universal Drive V6</t>
  </si>
  <si>
    <t>No Vert-Xtruder  - E3D Hot End Kit – Universal Drive V6</t>
  </si>
  <si>
    <t>http://www.makerfarm.com/index.php/mk7-drive-gear.html</t>
  </si>
  <si>
    <t>http://www.ebay.com/itm/RAMPS-1-4-REPRAP-3D-PRINTER-CONTROLLER-Mega-2560-R3-4-A4988-Drivers-/331060312249</t>
  </si>
  <si>
    <t>Folger Tech</t>
  </si>
  <si>
    <t>Metal crimps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</si>
</sst>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8"/>
      <color indexed="81"/>
      <name val="Tahoma"/>
    </font>
    <font>
      <sz val="11"/>
      <name val="Calibri"/>
      <family val="2"/>
    </font>
    <font>
      <u/>
      <sz val="11"/>
      <color indexed="12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">
    <xf numFmtId="0" fontId="0" fillId="0" borderId="0"/>
    <xf numFmtId="0" fontId="28" fillId="6" borderId="0" applyNumberFormat="0" applyBorder="0" applyAlignment="0" applyProtection="0"/>
    <xf numFmtId="0" fontId="5" fillId="2" borderId="0" applyNumberFormat="0" applyBorder="0" applyAlignment="0" applyProtection="0"/>
    <xf numFmtId="0" fontId="29" fillId="7" borderId="7" applyNumberForma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2" fillId="9" borderId="6" applyNumberFormat="0" applyAlignment="0" applyProtection="0"/>
    <xf numFmtId="0" fontId="33" fillId="10" borderId="0" applyNumberFormat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31" fillId="0" borderId="0" xfId="5" applyAlignment="1" applyProtection="1"/>
    <xf numFmtId="0" fontId="11" fillId="0" borderId="0" xfId="5" applyFont="1" applyAlignment="1" applyProtection="1">
      <alignment horizontal="left"/>
    </xf>
    <xf numFmtId="0" fontId="10" fillId="0" borderId="0" xfId="4" applyNumberFormat="1" applyFont="1" applyFill="1"/>
    <xf numFmtId="0" fontId="10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/>
    <xf numFmtId="0" fontId="10" fillId="0" borderId="0" xfId="0" applyFont="1"/>
    <xf numFmtId="0" fontId="10" fillId="0" borderId="0" xfId="0" applyNumberFormat="1" applyFont="1" applyAlignment="1">
      <alignment horizontal="left"/>
    </xf>
    <xf numFmtId="0" fontId="18" fillId="7" borderId="7" xfId="3" applyNumberFormat="1" applyFont="1"/>
    <xf numFmtId="0" fontId="18" fillId="0" borderId="0" xfId="0" applyNumberFormat="1" applyFont="1"/>
    <xf numFmtId="0" fontId="18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31" fillId="0" borderId="0" xfId="5" applyAlignment="1" applyProtection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18" fillId="0" borderId="7" xfId="3" applyNumberFormat="1" applyFont="1" applyFill="1"/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10" fillId="0" borderId="0" xfId="0" applyNumberFormat="1" applyFont="1" applyAlignment="1">
      <alignment horizontal="left" vertical="distributed"/>
    </xf>
    <xf numFmtId="0" fontId="18" fillId="0" borderId="2" xfId="0" applyNumberFormat="1" applyFont="1" applyBorder="1" applyAlignment="1">
      <alignment horizontal="center" vertical="distributed" wrapText="1"/>
    </xf>
    <xf numFmtId="0" fontId="4" fillId="0" borderId="0" xfId="0" applyFont="1" applyBorder="1" applyAlignment="1">
      <alignment horizontal="center" vertical="distributed" wrapText="1"/>
    </xf>
    <xf numFmtId="0" fontId="5" fillId="3" borderId="0" xfId="0" applyFont="1" applyFill="1" applyBorder="1" applyAlignment="1">
      <alignment horizontal="center" vertical="distributed" wrapText="1"/>
    </xf>
    <xf numFmtId="0" fontId="10" fillId="0" borderId="0" xfId="0" applyFont="1" applyBorder="1" applyAlignment="1">
      <alignment horizontal="left" vertical="distributed"/>
    </xf>
    <xf numFmtId="0" fontId="0" fillId="0" borderId="0" xfId="0" applyBorder="1" applyAlignment="1">
      <alignment horizontal="left" vertical="distributed"/>
    </xf>
    <xf numFmtId="0" fontId="4" fillId="0" borderId="0" xfId="0" applyFont="1" applyAlignment="1">
      <alignment horizontal="center" vertical="distributed" wrapText="1"/>
    </xf>
    <xf numFmtId="0" fontId="5" fillId="3" borderId="0" xfId="0" applyFont="1" applyFill="1" applyAlignment="1">
      <alignment horizontal="center" vertical="distributed" wrapText="1"/>
    </xf>
    <xf numFmtId="0" fontId="18" fillId="9" borderId="3" xfId="7" applyNumberFormat="1" applyFont="1" applyBorder="1" applyAlignment="1" applyProtection="1">
      <alignment horizontal="left" vertical="distributed"/>
    </xf>
    <xf numFmtId="0" fontId="4" fillId="0" borderId="0" xfId="0" applyFont="1" applyAlignment="1">
      <alignment horizontal="left" vertical="distributed" wrapText="1"/>
    </xf>
    <xf numFmtId="0" fontId="3" fillId="0" borderId="0" xfId="5" applyFont="1" applyAlignment="1" applyProtection="1">
      <alignment vertical="distributed"/>
    </xf>
    <xf numFmtId="0" fontId="10" fillId="0" borderId="0" xfId="1" applyNumberFormat="1" applyFont="1" applyFill="1" applyBorder="1" applyAlignment="1" applyProtection="1">
      <alignment horizontal="left" vertical="distributed"/>
    </xf>
    <xf numFmtId="0" fontId="10" fillId="0" borderId="0" xfId="0" applyFont="1" applyAlignment="1">
      <alignment horizontal="left" vertical="distributed"/>
    </xf>
    <xf numFmtId="0" fontId="10" fillId="0" borderId="0" xfId="0" applyNumberFormat="1" applyFont="1" applyFill="1" applyBorder="1" applyAlignment="1" applyProtection="1">
      <alignment horizontal="left" vertical="distributed"/>
    </xf>
    <xf numFmtId="0" fontId="10" fillId="0" borderId="0" xfId="5" applyFont="1" applyFill="1" applyAlignment="1" applyProtection="1">
      <alignment vertical="distributed"/>
    </xf>
    <xf numFmtId="0" fontId="10" fillId="0" borderId="0" xfId="0" applyNumberFormat="1" applyFont="1" applyFill="1" applyBorder="1" applyAlignment="1" applyProtection="1">
      <alignment horizontal="left" vertical="distributed" wrapText="1"/>
    </xf>
    <xf numFmtId="0" fontId="31" fillId="0" borderId="0" xfId="5" applyAlignment="1" applyProtection="1">
      <alignment vertical="distributed"/>
    </xf>
    <xf numFmtId="0" fontId="4" fillId="0" borderId="0" xfId="0" applyFont="1" applyBorder="1" applyAlignment="1">
      <alignment vertical="distributed"/>
    </xf>
    <xf numFmtId="0" fontId="18" fillId="9" borderId="0" xfId="7" applyNumberFormat="1" applyFont="1" applyBorder="1" applyAlignment="1">
      <alignment horizontal="left" vertical="distributed"/>
    </xf>
    <xf numFmtId="0" fontId="7" fillId="0" borderId="0" xfId="0" applyFont="1" applyBorder="1" applyAlignment="1">
      <alignment horizontal="left" vertical="distributed"/>
    </xf>
    <xf numFmtId="0" fontId="19" fillId="0" borderId="0" xfId="1" applyNumberFormat="1" applyFont="1" applyFill="1" applyBorder="1" applyAlignment="1" applyProtection="1">
      <alignment horizontal="left" vertical="distributed"/>
    </xf>
    <xf numFmtId="0" fontId="20" fillId="0" borderId="0" xfId="1" applyNumberFormat="1" applyFont="1" applyFill="1" applyBorder="1" applyAlignment="1" applyProtection="1">
      <alignment horizontal="left" vertical="distributed"/>
    </xf>
    <xf numFmtId="0" fontId="6" fillId="0" borderId="0" xfId="0" applyFont="1" applyAlignment="1">
      <alignment horizontal="center" vertical="distributed" wrapText="1"/>
    </xf>
    <xf numFmtId="0" fontId="18" fillId="9" borderId="0" xfId="7" applyNumberFormat="1" applyFont="1" applyBorder="1" applyAlignment="1" applyProtection="1">
      <alignment horizontal="left" vertical="distributed" wrapText="1"/>
    </xf>
    <xf numFmtId="0" fontId="10" fillId="0" borderId="0" xfId="7" applyNumberFormat="1" applyFont="1" applyFill="1" applyBorder="1" applyAlignment="1" applyProtection="1">
      <alignment horizontal="center" vertical="distributed" wrapText="1"/>
    </xf>
    <xf numFmtId="0" fontId="10" fillId="0" borderId="0" xfId="7" applyNumberFormat="1" applyFont="1" applyFill="1" applyBorder="1" applyAlignment="1" applyProtection="1">
      <alignment horizontal="left" vertical="distributed" wrapText="1"/>
    </xf>
    <xf numFmtId="0" fontId="18" fillId="4" borderId="0" xfId="0" applyNumberFormat="1" applyFont="1" applyFill="1" applyBorder="1" applyAlignment="1" applyProtection="1">
      <alignment horizontal="left" vertical="distributed"/>
    </xf>
    <xf numFmtId="0" fontId="15" fillId="0" borderId="0" xfId="0" applyFont="1" applyAlignment="1">
      <alignment horizontal="center" vertical="distributed" wrapText="1"/>
    </xf>
    <xf numFmtId="0" fontId="10" fillId="0" borderId="0" xfId="8" applyNumberFormat="1" applyFont="1" applyFill="1" applyAlignment="1">
      <alignment horizontal="left" vertical="distributed"/>
    </xf>
    <xf numFmtId="0" fontId="15" fillId="0" borderId="0" xfId="0" applyFont="1" applyBorder="1" applyAlignment="1">
      <alignment horizontal="left" vertical="distributed"/>
    </xf>
    <xf numFmtId="0" fontId="15" fillId="0" borderId="0" xfId="0" applyFont="1" applyAlignment="1">
      <alignment horizontal="left" vertical="distributed" wrapText="1"/>
    </xf>
    <xf numFmtId="0" fontId="15" fillId="0" borderId="0" xfId="0" applyFont="1" applyAlignment="1">
      <alignment horizontal="center" vertical="distributed"/>
    </xf>
    <xf numFmtId="0" fontId="10" fillId="0" borderId="0" xfId="5" applyFont="1" applyAlignment="1" applyProtection="1">
      <alignment vertical="distributed"/>
    </xf>
    <xf numFmtId="0" fontId="18" fillId="9" borderId="1" xfId="7" applyNumberFormat="1" applyFont="1" applyBorder="1" applyAlignment="1">
      <alignment horizontal="left" vertical="distributed"/>
    </xf>
    <xf numFmtId="0" fontId="7" fillId="0" borderId="0" xfId="0" applyFont="1" applyAlignment="1">
      <alignment horizontal="center" vertical="distributed" wrapText="1"/>
    </xf>
    <xf numFmtId="0" fontId="0" fillId="0" borderId="0" xfId="0" applyFont="1" applyAlignment="1">
      <alignment horizontal="center" vertical="distributed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center" vertical="distributed"/>
    </xf>
    <xf numFmtId="0" fontId="4" fillId="3" borderId="0" xfId="0" applyFont="1" applyFill="1" applyAlignment="1">
      <alignment horizontal="center" vertical="distributed"/>
    </xf>
    <xf numFmtId="0" fontId="3" fillId="0" borderId="0" xfId="6" applyAlignment="1" applyProtection="1"/>
    <xf numFmtId="0" fontId="18" fillId="0" borderId="0" xfId="0" applyNumberFormat="1" applyFont="1" applyFill="1" applyBorder="1" applyAlignment="1" applyProtection="1">
      <alignment horizontal="left"/>
    </xf>
    <xf numFmtId="0" fontId="31" fillId="0" borderId="0" xfId="5" applyAlignment="1" applyProtection="1">
      <alignment horizontal="left" vertical="distributed" wrapText="1"/>
    </xf>
    <xf numFmtId="0" fontId="4" fillId="0" borderId="0" xfId="0" quotePrefix="1" applyFont="1" applyAlignment="1">
      <alignment horizontal="left"/>
    </xf>
    <xf numFmtId="0" fontId="4" fillId="0" borderId="0" xfId="0" quotePrefix="1" applyFont="1"/>
    <xf numFmtId="0" fontId="31" fillId="0" borderId="0" xfId="5" applyNumberFormat="1" applyAlignment="1" applyProtection="1"/>
    <xf numFmtId="0" fontId="6" fillId="0" borderId="0" xfId="0" applyFont="1"/>
    <xf numFmtId="0" fontId="10" fillId="0" borderId="1" xfId="7" applyNumberFormat="1" applyFont="1" applyFill="1" applyBorder="1" applyAlignment="1" applyProtection="1">
      <alignment horizontal="left" vertical="distributed"/>
    </xf>
    <xf numFmtId="0" fontId="2" fillId="4" borderId="0" xfId="0" applyFont="1" applyFill="1" applyAlignment="1">
      <alignment vertical="distributed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15" fillId="0" borderId="0" xfId="0" applyFont="1" applyFill="1" applyAlignment="1">
      <alignment horizontal="center" vertical="distributed"/>
    </xf>
    <xf numFmtId="0" fontId="15" fillId="0" borderId="0" xfId="0" applyFont="1" applyAlignment="1">
      <alignment vertical="distributed"/>
    </xf>
    <xf numFmtId="0" fontId="16" fillId="0" borderId="4" xfId="0" applyFont="1" applyBorder="1" applyAlignment="1">
      <alignment horizontal="center" vertical="distributed" wrapText="1"/>
    </xf>
    <xf numFmtId="0" fontId="17" fillId="0" borderId="2" xfId="0" applyFont="1" applyBorder="1" applyAlignment="1">
      <alignment horizontal="center" vertical="distributed"/>
    </xf>
    <xf numFmtId="0" fontId="24" fillId="0" borderId="2" xfId="0" applyFont="1" applyBorder="1" applyAlignment="1">
      <alignment horizontal="center" vertical="distributed" wrapText="1"/>
    </xf>
    <xf numFmtId="0" fontId="24" fillId="0" borderId="2" xfId="0" applyFont="1" applyBorder="1" applyAlignment="1">
      <alignment horizontal="center" vertical="distributed"/>
    </xf>
    <xf numFmtId="0" fontId="24" fillId="0" borderId="5" xfId="0" applyFont="1" applyBorder="1" applyAlignment="1">
      <alignment horizontal="center" vertical="distributed" wrapText="1"/>
    </xf>
    <xf numFmtId="0" fontId="26" fillId="0" borderId="0" xfId="0" applyFont="1" applyAlignment="1">
      <alignment horizontal="center" vertical="distributed"/>
    </xf>
    <xf numFmtId="0" fontId="26" fillId="0" borderId="0" xfId="0" applyFont="1" applyBorder="1" applyAlignment="1">
      <alignment horizontal="center" vertical="distributed" wrapText="1"/>
    </xf>
    <xf numFmtId="0" fontId="15" fillId="0" borderId="0" xfId="0" applyFont="1" applyBorder="1" applyAlignment="1">
      <alignment horizontal="center" vertical="distributed" wrapText="1"/>
    </xf>
    <xf numFmtId="0" fontId="15" fillId="0" borderId="0" xfId="0" applyFont="1" applyBorder="1" applyAlignment="1">
      <alignment horizontal="left" vertical="distributed" wrapText="1"/>
    </xf>
    <xf numFmtId="0" fontId="15" fillId="0" borderId="0" xfId="0" applyFont="1" applyBorder="1" applyAlignment="1">
      <alignment horizontal="center" vertical="distributed"/>
    </xf>
    <xf numFmtId="0" fontId="21" fillId="3" borderId="0" xfId="0" applyFont="1" applyFill="1" applyBorder="1" applyAlignment="1">
      <alignment horizontal="center" vertical="distributed" wrapText="1"/>
    </xf>
    <xf numFmtId="0" fontId="23" fillId="0" borderId="0" xfId="0" applyFont="1" applyBorder="1" applyAlignment="1">
      <alignment horizontal="center" vertical="distributed" wrapText="1"/>
    </xf>
    <xf numFmtId="0" fontId="22" fillId="0" borderId="0" xfId="5" applyFont="1" applyBorder="1" applyAlignment="1" applyProtection="1">
      <alignment horizontal="center" vertical="distributed"/>
    </xf>
    <xf numFmtId="0" fontId="23" fillId="0" borderId="0" xfId="0" applyFont="1" applyAlignment="1">
      <alignment vertical="distributed"/>
    </xf>
    <xf numFmtId="0" fontId="21" fillId="3" borderId="0" xfId="0" applyFont="1" applyFill="1" applyAlignment="1">
      <alignment horizontal="center" vertical="distributed" wrapText="1"/>
    </xf>
    <xf numFmtId="0" fontId="23" fillId="0" borderId="0" xfId="0" applyFont="1" applyAlignment="1">
      <alignment horizontal="center" vertical="distributed" wrapText="1"/>
    </xf>
    <xf numFmtId="0" fontId="23" fillId="0" borderId="0" xfId="0" applyFont="1" applyBorder="1" applyAlignment="1">
      <alignment horizontal="left" vertical="distributed"/>
    </xf>
    <xf numFmtId="0" fontId="23" fillId="0" borderId="0" xfId="0" applyFont="1" applyAlignment="1">
      <alignment horizontal="left" vertical="distributed" wrapText="1"/>
    </xf>
    <xf numFmtId="0" fontId="22" fillId="0" borderId="0" xfId="5" applyFont="1" applyAlignment="1" applyProtection="1">
      <alignment vertical="distributed"/>
    </xf>
    <xf numFmtId="0" fontId="22" fillId="0" borderId="0" xfId="5" applyNumberFormat="1" applyFont="1" applyAlignment="1" applyProtection="1"/>
    <xf numFmtId="0" fontId="15" fillId="0" borderId="0" xfId="0" applyFont="1" applyAlignment="1">
      <alignment horizontal="left" vertical="center" wrapText="1"/>
    </xf>
    <xf numFmtId="0" fontId="22" fillId="0" borderId="0" xfId="5" applyFont="1" applyBorder="1" applyAlignment="1" applyProtection="1">
      <alignment vertical="distributed"/>
    </xf>
    <xf numFmtId="0" fontId="23" fillId="0" borderId="0" xfId="0" applyFont="1" applyBorder="1" applyAlignment="1">
      <alignment vertical="distributed"/>
    </xf>
    <xf numFmtId="0" fontId="23" fillId="0" borderId="0" xfId="0" applyFont="1" applyBorder="1" applyAlignment="1">
      <alignment horizontal="left" vertical="distributed" wrapText="1"/>
    </xf>
    <xf numFmtId="0" fontId="3" fillId="0" borderId="0" xfId="5" applyFont="1" applyBorder="1" applyAlignment="1" applyProtection="1">
      <alignment horizontal="left" vertical="distributed"/>
    </xf>
    <xf numFmtId="0" fontId="22" fillId="0" borderId="0" xfId="5" applyFont="1" applyBorder="1" applyAlignment="1" applyProtection="1">
      <alignment horizontal="left" vertical="distributed"/>
    </xf>
    <xf numFmtId="0" fontId="3" fillId="0" borderId="0" xfId="5" applyFont="1" applyBorder="1" applyAlignment="1" applyProtection="1">
      <alignment vertical="distributed" wrapText="1"/>
    </xf>
    <xf numFmtId="0" fontId="22" fillId="0" borderId="0" xfId="5" applyFont="1" applyBorder="1" applyAlignment="1" applyProtection="1">
      <alignment horizontal="left" vertical="distributed" wrapText="1"/>
    </xf>
    <xf numFmtId="0" fontId="22" fillId="0" borderId="0" xfId="5" applyNumberFormat="1" applyFont="1" applyFill="1" applyBorder="1" applyAlignment="1" applyProtection="1">
      <alignment vertical="distributed"/>
    </xf>
    <xf numFmtId="0" fontId="23" fillId="0" borderId="0" xfId="0" applyFont="1" applyAlignment="1">
      <alignment horizontal="center" vertical="distributed"/>
    </xf>
    <xf numFmtId="0" fontId="16" fillId="0" borderId="0" xfId="0" applyFont="1" applyAlignment="1">
      <alignment horizontal="center" vertical="distributed" wrapText="1"/>
    </xf>
    <xf numFmtId="0" fontId="17" fillId="0" borderId="0" xfId="0" applyFont="1" applyAlignment="1">
      <alignment vertical="distributed"/>
    </xf>
    <xf numFmtId="0" fontId="24" fillId="0" borderId="0" xfId="0" applyFont="1" applyAlignment="1">
      <alignment horizontal="center" vertical="distributed" wrapText="1"/>
    </xf>
    <xf numFmtId="0" fontId="24" fillId="0" borderId="0" xfId="0" applyFont="1" applyAlignment="1">
      <alignment vertical="distributed"/>
    </xf>
    <xf numFmtId="0" fontId="24" fillId="0" borderId="0" xfId="0" applyFont="1" applyAlignment="1">
      <alignment horizontal="center" vertical="distributed"/>
    </xf>
    <xf numFmtId="0" fontId="16" fillId="0" borderId="0" xfId="0" applyFont="1" applyFill="1" applyAlignment="1">
      <alignment vertical="distributed" wrapText="1"/>
    </xf>
    <xf numFmtId="0" fontId="16" fillId="0" borderId="0" xfId="0" applyFont="1" applyFill="1" applyAlignment="1">
      <alignment vertical="distributed"/>
    </xf>
    <xf numFmtId="0" fontId="24" fillId="0" borderId="0" xfId="0" applyFont="1" applyAlignment="1">
      <alignment vertical="distributed" wrapText="1"/>
    </xf>
    <xf numFmtId="0" fontId="26" fillId="0" borderId="0" xfId="0" applyFont="1" applyAlignment="1">
      <alignment vertical="distributed"/>
    </xf>
    <xf numFmtId="0" fontId="16" fillId="5" borderId="0" xfId="0" applyFont="1" applyFill="1" applyAlignment="1">
      <alignment vertical="distributed"/>
    </xf>
    <xf numFmtId="0" fontId="16" fillId="0" borderId="0" xfId="0" applyFont="1" applyAlignment="1">
      <alignment vertical="distributed"/>
    </xf>
    <xf numFmtId="0" fontId="1" fillId="0" borderId="0" xfId="0" applyFont="1" applyAlignment="1">
      <alignment horizontal="left"/>
    </xf>
    <xf numFmtId="0" fontId="3" fillId="0" borderId="0" xfId="6" applyFont="1" applyAlignment="1" applyProtection="1">
      <alignment horizontal="left"/>
    </xf>
    <xf numFmtId="0" fontId="1" fillId="0" borderId="0" xfId="0" applyFont="1"/>
    <xf numFmtId="0" fontId="3" fillId="0" borderId="0" xfId="6" applyAlignment="1" applyProtection="1"/>
    <xf numFmtId="0" fontId="1" fillId="0" borderId="0" xfId="0" applyFont="1" applyAlignment="1"/>
    <xf numFmtId="0" fontId="3" fillId="0" borderId="0" xfId="6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0" fillId="0" borderId="0" xfId="2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center" vertical="distributed" wrapText="1"/>
    </xf>
    <xf numFmtId="0" fontId="3" fillId="0" borderId="0" xfId="6" applyAlignment="1" applyProtection="1">
      <alignment vertical="distributed"/>
    </xf>
    <xf numFmtId="0" fontId="27" fillId="0" borderId="0" xfId="0" applyFont="1"/>
    <xf numFmtId="0" fontId="3" fillId="0" borderId="0" xfId="6" applyFont="1" applyAlignment="1" applyProtection="1"/>
    <xf numFmtId="0" fontId="1" fillId="0" borderId="0" xfId="0" applyFont="1" applyAlignment="1">
      <alignment horizontal="left" wrapText="1"/>
    </xf>
    <xf numFmtId="0" fontId="25" fillId="0" borderId="0" xfId="0" applyFont="1" applyFill="1" applyAlignment="1">
      <alignment horizontal="center" vertical="distributed"/>
    </xf>
  </cellXfs>
  <cellStyles count="9">
    <cellStyle name="Bad" xfId="1" builtinId="27"/>
    <cellStyle name="Bad_Master Data Sheet" xfId="2"/>
    <cellStyle name="Check Cell" xfId="3" builtinId="23"/>
    <cellStyle name="Good" xfId="4" builtinId="26"/>
    <cellStyle name="Hyperlink" xfId="5" builtinId="8"/>
    <cellStyle name="Hyperlink_Master Data Sheet" xfId="6"/>
    <cellStyle name="Input" xfId="7" builtinId="20"/>
    <cellStyle name="Neutral" xfId="8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gikey.com/product-detail/en/0022272041/WM4113-ND/1130579" TargetMode="External"/><Relationship Id="rId13" Type="http://schemas.openxmlformats.org/officeDocument/2006/relationships/hyperlink" Target="https://ultimachine.com/content/608zz-bearing" TargetMode="External"/><Relationship Id="rId3" Type="http://schemas.openxmlformats.org/officeDocument/2006/relationships/hyperlink" Target="http://www.digikey.com/product-detail/en/0008500114/WM1114-ND/26475?cur=USD" TargetMode="External"/><Relationship Id="rId7" Type="http://schemas.openxmlformats.org/officeDocument/2006/relationships/hyperlink" Target="http://www.mcmaster.com/" TargetMode="External"/><Relationship Id="rId12" Type="http://schemas.openxmlformats.org/officeDocument/2006/relationships/hyperlink" Target="https://www.lulzbot.com/?q=products/gt2-1164mm-6mm-belt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://www.digikey.com/scripts/dksearch/dksus.dll?vendor=0&amp;keywords=SS-3GL13PT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www.lulzbot.com/?q=products/nema-17-stepper-motors" TargetMode="External"/><Relationship Id="rId6" Type="http://schemas.openxmlformats.org/officeDocument/2006/relationships/hyperlink" Target="http://www.digikey.com/product-detail/en/0022013027/WM2000-ND/26431?cur=USD" TargetMode="External"/><Relationship Id="rId11" Type="http://schemas.openxmlformats.org/officeDocument/2006/relationships/hyperlink" Target="http://www.mcmaster.com/" TargetMode="External"/><Relationship Id="rId5" Type="http://schemas.openxmlformats.org/officeDocument/2006/relationships/hyperlink" Target="http://www.digikey.com/product-detail/en/0022013037/WM2001-ND/26433?cur=USD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mcmaster.com/" TargetMode="External"/><Relationship Id="rId4" Type="http://schemas.openxmlformats.org/officeDocument/2006/relationships/hyperlink" Target="http://www.digikey.com/product-detail/en/0022013047/WM2002-ND/26435?cur=USD" TargetMode="External"/><Relationship Id="rId9" Type="http://schemas.openxmlformats.org/officeDocument/2006/relationships/hyperlink" Target="http://www.digikey.com/product-detail/en/0022272021/WM4111-ND/1130577" TargetMode="External"/><Relationship Id="rId14" Type="http://schemas.openxmlformats.org/officeDocument/2006/relationships/hyperlink" Target="http://www.makerfarm.com/index.php/hardware/lm8uu-linear-bearing.html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gikey.com/product-detail/en/0022272041/WM4113-ND/1130579" TargetMode="External"/><Relationship Id="rId18" Type="http://schemas.openxmlformats.org/officeDocument/2006/relationships/hyperlink" Target="http://www.makerfarm.com/index.php/hot-end-parts/j-head-hot-end-for-1-75mm-filament.html" TargetMode="External"/><Relationship Id="rId26" Type="http://schemas.openxmlformats.org/officeDocument/2006/relationships/hyperlink" Target="http://www.thingiverse.com/thing:137806" TargetMode="External"/><Relationship Id="rId39" Type="http://schemas.openxmlformats.org/officeDocument/2006/relationships/hyperlink" Target="http://www.boltdepot.com/Product-Details.aspx?product=11108" TargetMode="External"/><Relationship Id="rId21" Type="http://schemas.openxmlformats.org/officeDocument/2006/relationships/hyperlink" Target="http://printrbot.com/shop/3mm-ubis-cartridge-hot-end/" TargetMode="External"/><Relationship Id="rId34" Type="http://schemas.openxmlformats.org/officeDocument/2006/relationships/hyperlink" Target="http://www.mcmaster.com/" TargetMode="External"/><Relationship Id="rId42" Type="http://schemas.openxmlformats.org/officeDocument/2006/relationships/hyperlink" Target="http://www.mcmaster.com/" TargetMode="External"/><Relationship Id="rId47" Type="http://schemas.openxmlformats.org/officeDocument/2006/relationships/hyperlink" Target="http://www.microcenter.com/product/349702/EL_Series_400W_ATX_Power_Supply" TargetMode="External"/><Relationship Id="rId50" Type="http://schemas.openxmlformats.org/officeDocument/2006/relationships/hyperlink" Target="http://www.geeetech.com/new-version-reprap-printerboard-reprap-electronics-sets-p-653.html" TargetMode="External"/><Relationship Id="rId55" Type="http://schemas.openxmlformats.org/officeDocument/2006/relationships/comments" Target="../comments2.xml"/><Relationship Id="rId7" Type="http://schemas.openxmlformats.org/officeDocument/2006/relationships/hyperlink" Target="http://www.makerfarm.com/index.php/hardware/1-foot-gt2-belt.html" TargetMode="External"/><Relationship Id="rId12" Type="http://schemas.openxmlformats.org/officeDocument/2006/relationships/hyperlink" Target="http://www.digikey.com/product-detail/en/0022013027/WM2000-ND/26431?cur=USD" TargetMode="External"/><Relationship Id="rId17" Type="http://schemas.openxmlformats.org/officeDocument/2006/relationships/hyperlink" Target="http://3dprinterbits.biz/reprap-ramps/" TargetMode="External"/><Relationship Id="rId25" Type="http://schemas.openxmlformats.org/officeDocument/2006/relationships/hyperlink" Target="http://www.thingiverse.com/thing:137806" TargetMode="External"/><Relationship Id="rId33" Type="http://schemas.openxmlformats.org/officeDocument/2006/relationships/hyperlink" Target="http://www.mcmaster.com/" TargetMode="External"/><Relationship Id="rId38" Type="http://schemas.openxmlformats.org/officeDocument/2006/relationships/hyperlink" Target="http://www.mcmaster.com/" TargetMode="External"/><Relationship Id="rId46" Type="http://schemas.openxmlformats.org/officeDocument/2006/relationships/hyperlink" Target="http://www.lulzbot.com/?q=products/12vdc-20a-240w-power-supply" TargetMode="External"/><Relationship Id="rId2" Type="http://schemas.openxmlformats.org/officeDocument/2006/relationships/hyperlink" Target="http://www.makerfarm.com/index.php/printer-electronics/6x6-heat-bed.html" TargetMode="External"/><Relationship Id="rId16" Type="http://schemas.openxmlformats.org/officeDocument/2006/relationships/hyperlink" Target="http://www.sainsmart.com/" TargetMode="External"/><Relationship Id="rId20" Type="http://schemas.openxmlformats.org/officeDocument/2006/relationships/hyperlink" Target="http://store.qu-bd.com/product.php?id_product=11" TargetMode="External"/><Relationship Id="rId29" Type="http://schemas.openxmlformats.org/officeDocument/2006/relationships/hyperlink" Target="http://www.printedsolid.com/shop/printer-parts/hexagon/" TargetMode="External"/><Relationship Id="rId41" Type="http://schemas.openxmlformats.org/officeDocument/2006/relationships/hyperlink" Target="http://www.boltdepot.com/Product-Details.aspx?product=3830" TargetMode="External"/><Relationship Id="rId54" Type="http://schemas.openxmlformats.org/officeDocument/2006/relationships/vmlDrawing" Target="../drawings/vmlDrawing2.vml"/><Relationship Id="rId1" Type="http://schemas.openxmlformats.org/officeDocument/2006/relationships/hyperlink" Target="http://www.mcmaster.com/" TargetMode="External"/><Relationship Id="rId6" Type="http://schemas.openxmlformats.org/officeDocument/2006/relationships/hyperlink" Target="https://www.lulzbot.com/?q=products/gt2-16-teeth-timing-pulley" TargetMode="External"/><Relationship Id="rId11" Type="http://schemas.openxmlformats.org/officeDocument/2006/relationships/hyperlink" Target="http://www.digikey.com/product-detail/en/0022013037/WM2001-ND/26433?cur=USD" TargetMode="External"/><Relationship Id="rId24" Type="http://schemas.openxmlformats.org/officeDocument/2006/relationships/hyperlink" Target="http://www.makerfarm.com/index.php/hot-end-parts/j-head-hot-end-for-1-75mm-filament.html" TargetMode="External"/><Relationship Id="rId32" Type="http://schemas.openxmlformats.org/officeDocument/2006/relationships/hyperlink" Target="http://www.mcmaster.com/" TargetMode="External"/><Relationship Id="rId37" Type="http://schemas.openxmlformats.org/officeDocument/2006/relationships/hyperlink" Target="http://www.mcmaster.com/" TargetMode="External"/><Relationship Id="rId40" Type="http://schemas.openxmlformats.org/officeDocument/2006/relationships/hyperlink" Target="http://www.boltdepot.com/Product-Details.aspx?product=9017" TargetMode="External"/><Relationship Id="rId45" Type="http://schemas.openxmlformats.org/officeDocument/2006/relationships/hyperlink" Target="http://www.mcmaster.com/" TargetMode="External"/><Relationship Id="rId53" Type="http://schemas.openxmlformats.org/officeDocument/2006/relationships/printerSettings" Target="../printerSettings/printerSettings2.bin"/><Relationship Id="rId5" Type="http://schemas.openxmlformats.org/officeDocument/2006/relationships/hyperlink" Target="http://www.makerfarm.com/index.php/hardware/gt2-gear.html" TargetMode="External"/><Relationship Id="rId15" Type="http://schemas.openxmlformats.org/officeDocument/2006/relationships/hyperlink" Target="http://stores.ebay.com/NY-PLATFORM?_trksid=p2047675.l2563" TargetMode="External"/><Relationship Id="rId23" Type="http://schemas.openxmlformats.org/officeDocument/2006/relationships/hyperlink" Target="http://www.makerfarm.com/index.php/hot-end-parts/j-head-hot-end-for-1-75mm-filament.html" TargetMode="External"/><Relationship Id="rId28" Type="http://schemas.openxmlformats.org/officeDocument/2006/relationships/hyperlink" Target="http://www.thingiverse.com/thing:137806" TargetMode="External"/><Relationship Id="rId36" Type="http://schemas.openxmlformats.org/officeDocument/2006/relationships/hyperlink" Target="http://www.mcmaster.com/" TargetMode="External"/><Relationship Id="rId49" Type="http://schemas.openxmlformats.org/officeDocument/2006/relationships/hyperlink" Target="http://printrbot.com/shop/printrboard-electronics/" TargetMode="External"/><Relationship Id="rId10" Type="http://schemas.openxmlformats.org/officeDocument/2006/relationships/hyperlink" Target="http://www.digikey.com/product-detail/en/0022013047/WM2002-ND/26435?cur=USD" TargetMode="External"/><Relationship Id="rId19" Type="http://schemas.openxmlformats.org/officeDocument/2006/relationships/hyperlink" Target="https://www.hotends.com/index.php?route=product/product&amp;product_id=83" TargetMode="External"/><Relationship Id="rId31" Type="http://schemas.openxmlformats.org/officeDocument/2006/relationships/hyperlink" Target="http://www.mcmaster.com/" TargetMode="External"/><Relationship Id="rId44" Type="http://schemas.openxmlformats.org/officeDocument/2006/relationships/hyperlink" Target="http://www.mcmaster.com/" TargetMode="External"/><Relationship Id="rId52" Type="http://schemas.openxmlformats.org/officeDocument/2006/relationships/hyperlink" Target="http://www.mcmaster.com/" TargetMode="External"/><Relationship Id="rId4" Type="http://schemas.openxmlformats.org/officeDocument/2006/relationships/hyperlink" Target="http://www.mcmaster.com/" TargetMode="External"/><Relationship Id="rId9" Type="http://schemas.openxmlformats.org/officeDocument/2006/relationships/hyperlink" Target="http://www.digikey.com/product-detail/en/0008500114/WM1114-ND/26475?cur=USD" TargetMode="External"/><Relationship Id="rId14" Type="http://schemas.openxmlformats.org/officeDocument/2006/relationships/hyperlink" Target="http://www.digikey.com/product-detail/en/0022272021/WM4111-ND/1130577" TargetMode="External"/><Relationship Id="rId22" Type="http://schemas.openxmlformats.org/officeDocument/2006/relationships/hyperlink" Target="http://e3d-online.com/ourshop/prod_2567052-E3Dv4-All-metal-HotEnd-2-Week-PreOrder.html" TargetMode="External"/><Relationship Id="rId27" Type="http://schemas.openxmlformats.org/officeDocument/2006/relationships/hyperlink" Target="http://www.thingiverse.com/thing:137806" TargetMode="External"/><Relationship Id="rId30" Type="http://schemas.openxmlformats.org/officeDocument/2006/relationships/hyperlink" Target="http://www.mcmaster.com/" TargetMode="External"/><Relationship Id="rId35" Type="http://schemas.openxmlformats.org/officeDocument/2006/relationships/hyperlink" Target="http://www.mcmaster.com/" TargetMode="External"/><Relationship Id="rId43" Type="http://schemas.openxmlformats.org/officeDocument/2006/relationships/hyperlink" Target="http://www.mcmaster.com/" TargetMode="External"/><Relationship Id="rId48" Type="http://schemas.openxmlformats.org/officeDocument/2006/relationships/hyperlink" Target="http://www.makerfarm.com/index.php/printer-electronics/ramps.html" TargetMode="External"/><Relationship Id="rId8" Type="http://schemas.openxmlformats.org/officeDocument/2006/relationships/hyperlink" Target="https://www.lulzbot.com/?q=products/gt2-1164mm-6mm-belt" TargetMode="External"/><Relationship Id="rId51" Type="http://schemas.openxmlformats.org/officeDocument/2006/relationships/hyperlink" Target="http://www.thingiverse.com/thing:43411" TargetMode="External"/><Relationship Id="rId3" Type="http://schemas.openxmlformats.org/officeDocument/2006/relationships/hyperlink" Target="http://www.makerfarm.com/index.php/printer-electronics/heatbed-mk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0"/>
  <sheetViews>
    <sheetView tabSelected="1" zoomScaleNormal="100" workbookViewId="0">
      <selection activeCell="E24" sqref="E24"/>
    </sheetView>
  </sheetViews>
  <sheetFormatPr defaultRowHeight="15"/>
  <cols>
    <col min="1" max="1" width="12.85546875" style="20" bestFit="1" customWidth="1"/>
    <col min="2" max="2" width="2.7109375" style="20" customWidth="1"/>
    <col min="3" max="3" width="5.5703125" style="21" bestFit="1" customWidth="1"/>
    <col min="4" max="4" width="2.7109375" style="20" customWidth="1"/>
    <col min="5" max="5" width="33.42578125" style="22" customWidth="1"/>
    <col min="6" max="6" width="15.140625" style="60" bestFit="1" customWidth="1"/>
    <col min="7" max="7" width="76.140625" style="20" bestFit="1" customWidth="1"/>
    <col min="8" max="8" width="12.7109375" style="20" customWidth="1"/>
    <col min="9" max="9" width="9.28515625" style="20" customWidth="1"/>
    <col min="10" max="10" width="108.7109375" style="20" customWidth="1"/>
    <col min="11" max="16384" width="9.140625" style="20"/>
  </cols>
  <sheetData>
    <row r="1" spans="1:10" ht="26.25">
      <c r="A1" s="129" t="s">
        <v>194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s="73" customFormat="1" ht="15.75" thickBot="1">
      <c r="A2" s="69" t="s">
        <v>131</v>
      </c>
      <c r="B2" s="70"/>
      <c r="C2" s="71"/>
      <c r="D2" s="70"/>
      <c r="E2" s="22"/>
      <c r="F2" s="72"/>
    </row>
    <row r="3" spans="1:10" s="79" customFormat="1" ht="18" customHeight="1" thickBot="1">
      <c r="A3" s="74" t="s">
        <v>0</v>
      </c>
      <c r="B3" s="75"/>
      <c r="C3" s="76" t="s">
        <v>1</v>
      </c>
      <c r="D3" s="76"/>
      <c r="E3" s="23" t="s">
        <v>2</v>
      </c>
      <c r="F3" s="77" t="s">
        <v>95</v>
      </c>
      <c r="G3" s="76" t="s">
        <v>3</v>
      </c>
      <c r="H3" s="76" t="s">
        <v>87</v>
      </c>
      <c r="I3" s="76" t="s">
        <v>88</v>
      </c>
      <c r="J3" s="78" t="s">
        <v>4</v>
      </c>
    </row>
    <row r="4" spans="1:10" s="73" customFormat="1" ht="18" customHeight="1">
      <c r="A4" s="80">
        <v>1</v>
      </c>
      <c r="B4" s="25"/>
      <c r="C4" s="81">
        <v>1</v>
      </c>
      <c r="D4" s="81"/>
      <c r="E4" s="26" t="s">
        <v>120</v>
      </c>
      <c r="F4" s="51" t="s">
        <v>58</v>
      </c>
      <c r="G4" s="82" t="s">
        <v>51</v>
      </c>
      <c r="H4" s="81">
        <v>0</v>
      </c>
      <c r="I4" s="81">
        <v>0</v>
      </c>
      <c r="J4" s="83"/>
    </row>
    <row r="5" spans="1:10" s="73" customFormat="1" ht="18" customHeight="1">
      <c r="A5" s="81">
        <v>2</v>
      </c>
      <c r="B5" s="84"/>
      <c r="C5" s="85">
        <v>1</v>
      </c>
      <c r="D5" s="85"/>
      <c r="E5" s="26" t="s">
        <v>121</v>
      </c>
      <c r="F5" s="51" t="s">
        <v>58</v>
      </c>
      <c r="G5" s="82" t="s">
        <v>51</v>
      </c>
      <c r="H5" s="81">
        <v>0</v>
      </c>
      <c r="I5" s="81">
        <v>0</v>
      </c>
      <c r="J5" s="83"/>
    </row>
    <row r="6" spans="1:10" s="73" customFormat="1" ht="18" customHeight="1">
      <c r="A6" s="81">
        <v>3</v>
      </c>
      <c r="B6" s="84"/>
      <c r="C6" s="85">
        <v>1</v>
      </c>
      <c r="D6" s="85"/>
      <c r="E6" s="26" t="s">
        <v>183</v>
      </c>
      <c r="F6" s="51" t="s">
        <v>58</v>
      </c>
      <c r="G6" s="82" t="s">
        <v>51</v>
      </c>
      <c r="H6" s="81">
        <v>0</v>
      </c>
      <c r="I6" s="81">
        <v>0</v>
      </c>
      <c r="J6" s="83"/>
    </row>
    <row r="7" spans="1:10" s="73" customFormat="1" ht="18" customHeight="1">
      <c r="A7" s="81">
        <v>4</v>
      </c>
      <c r="B7" s="84"/>
      <c r="C7" s="85">
        <v>1</v>
      </c>
      <c r="D7" s="85"/>
      <c r="E7" s="26" t="s">
        <v>184</v>
      </c>
      <c r="F7" s="51" t="s">
        <v>58</v>
      </c>
      <c r="G7" s="82" t="s">
        <v>51</v>
      </c>
      <c r="H7" s="81">
        <v>0</v>
      </c>
      <c r="I7" s="81">
        <v>0</v>
      </c>
      <c r="J7" s="83"/>
    </row>
    <row r="8" spans="1:10" s="73" customFormat="1" ht="18" customHeight="1">
      <c r="A8" s="81">
        <v>5</v>
      </c>
      <c r="B8" s="84"/>
      <c r="C8" s="85">
        <v>1</v>
      </c>
      <c r="D8" s="85"/>
      <c r="E8" s="26" t="s">
        <v>5</v>
      </c>
      <c r="F8" s="51" t="s">
        <v>58</v>
      </c>
      <c r="G8" s="82" t="s">
        <v>52</v>
      </c>
      <c r="H8" s="81">
        <v>0</v>
      </c>
      <c r="I8" s="81">
        <v>0</v>
      </c>
      <c r="J8" s="83"/>
    </row>
    <row r="9" spans="1:10" s="73" customFormat="1" ht="18" customHeight="1">
      <c r="A9" s="81">
        <v>6</v>
      </c>
      <c r="B9" s="84"/>
      <c r="C9" s="85">
        <v>1</v>
      </c>
      <c r="D9" s="85"/>
      <c r="E9" s="26" t="s">
        <v>6</v>
      </c>
      <c r="F9" s="51" t="s">
        <v>58</v>
      </c>
      <c r="G9" s="82" t="s">
        <v>52</v>
      </c>
      <c r="H9" s="81">
        <v>0</v>
      </c>
      <c r="I9" s="81">
        <v>0</v>
      </c>
      <c r="J9" s="83"/>
    </row>
    <row r="10" spans="1:10" s="73" customFormat="1" ht="18" customHeight="1">
      <c r="A10" s="81">
        <v>7</v>
      </c>
      <c r="B10" s="84"/>
      <c r="C10" s="85">
        <v>1</v>
      </c>
      <c r="D10" s="85"/>
      <c r="E10" s="26" t="s">
        <v>7</v>
      </c>
      <c r="F10" s="51" t="s">
        <v>58</v>
      </c>
      <c r="G10" s="82" t="s">
        <v>52</v>
      </c>
      <c r="H10" s="81">
        <v>0</v>
      </c>
      <c r="I10" s="81">
        <v>0</v>
      </c>
      <c r="J10" s="83"/>
    </row>
    <row r="11" spans="1:10" s="73" customFormat="1" ht="18" customHeight="1">
      <c r="A11" s="81">
        <v>8</v>
      </c>
      <c r="B11" s="84"/>
      <c r="C11" s="85">
        <v>1</v>
      </c>
      <c r="D11" s="85"/>
      <c r="E11" s="26" t="s">
        <v>8</v>
      </c>
      <c r="F11" s="51" t="s">
        <v>58</v>
      </c>
      <c r="G11" s="82" t="s">
        <v>52</v>
      </c>
      <c r="H11" s="81">
        <v>0</v>
      </c>
      <c r="I11" s="81">
        <v>0</v>
      </c>
      <c r="J11" s="83"/>
    </row>
    <row r="12" spans="1:10" s="73" customFormat="1" ht="18" customHeight="1">
      <c r="A12" s="81">
        <v>9</v>
      </c>
      <c r="B12" s="84"/>
      <c r="C12" s="85">
        <v>2</v>
      </c>
      <c r="D12" s="85"/>
      <c r="E12" s="26" t="s">
        <v>9</v>
      </c>
      <c r="F12" s="51" t="s">
        <v>58</v>
      </c>
      <c r="G12" s="82" t="s">
        <v>10</v>
      </c>
      <c r="H12" s="81">
        <v>0</v>
      </c>
      <c r="I12" s="81">
        <v>0</v>
      </c>
      <c r="J12" s="83"/>
    </row>
    <row r="13" spans="1:10" s="73" customFormat="1" ht="18" customHeight="1">
      <c r="A13" s="81">
        <v>10</v>
      </c>
      <c r="B13" s="84"/>
      <c r="C13" s="85">
        <v>1</v>
      </c>
      <c r="D13" s="85"/>
      <c r="E13" s="26" t="s">
        <v>11</v>
      </c>
      <c r="F13" s="51" t="s">
        <v>58</v>
      </c>
      <c r="G13" s="82" t="s">
        <v>89</v>
      </c>
      <c r="H13" s="81">
        <v>0</v>
      </c>
      <c r="I13" s="81">
        <v>0</v>
      </c>
      <c r="J13" s="83"/>
    </row>
    <row r="14" spans="1:10" s="73" customFormat="1" ht="18" customHeight="1">
      <c r="A14" s="81">
        <v>11</v>
      </c>
      <c r="B14" s="84"/>
      <c r="C14" s="85">
        <v>1</v>
      </c>
      <c r="D14" s="85"/>
      <c r="E14" s="26" t="s">
        <v>12</v>
      </c>
      <c r="F14" s="51" t="s">
        <v>58</v>
      </c>
      <c r="G14" s="82" t="s">
        <v>89</v>
      </c>
      <c r="H14" s="81">
        <v>0</v>
      </c>
      <c r="I14" s="81">
        <v>0</v>
      </c>
      <c r="J14" s="83"/>
    </row>
    <row r="15" spans="1:10" s="73" customFormat="1" ht="18" customHeight="1">
      <c r="A15" s="81">
        <v>12</v>
      </c>
      <c r="B15" s="84"/>
      <c r="C15" s="85">
        <v>2</v>
      </c>
      <c r="D15" s="85"/>
      <c r="E15" s="26" t="s">
        <v>182</v>
      </c>
      <c r="F15" s="51" t="s">
        <v>58</v>
      </c>
      <c r="G15" s="82" t="s">
        <v>50</v>
      </c>
      <c r="H15" s="81">
        <v>0</v>
      </c>
      <c r="I15" s="81">
        <v>0</v>
      </c>
      <c r="J15" s="83"/>
    </row>
    <row r="16" spans="1:10" s="87" customFormat="1" ht="18" customHeight="1">
      <c r="A16" s="81">
        <v>13</v>
      </c>
      <c r="B16" s="84"/>
      <c r="C16" s="85">
        <v>2</v>
      </c>
      <c r="D16" s="85"/>
      <c r="E16" s="26" t="s">
        <v>147</v>
      </c>
      <c r="F16" s="51" t="s">
        <v>58</v>
      </c>
      <c r="G16" s="82" t="s">
        <v>50</v>
      </c>
      <c r="H16" s="81">
        <v>0</v>
      </c>
      <c r="I16" s="81">
        <v>0</v>
      </c>
      <c r="J16" s="86"/>
    </row>
    <row r="17" spans="1:10" s="73" customFormat="1" ht="18" customHeight="1">
      <c r="A17" s="85">
        <v>14</v>
      </c>
      <c r="B17" s="25"/>
      <c r="C17" s="81">
        <v>4</v>
      </c>
      <c r="D17" s="81"/>
      <c r="E17" s="26" t="s">
        <v>148</v>
      </c>
      <c r="F17" s="51" t="s">
        <v>58</v>
      </c>
      <c r="G17" s="82" t="s">
        <v>50</v>
      </c>
      <c r="H17" s="81">
        <v>0</v>
      </c>
      <c r="I17" s="81">
        <v>0</v>
      </c>
      <c r="J17" s="83"/>
    </row>
    <row r="18" spans="1:10" s="73" customFormat="1" ht="18" customHeight="1">
      <c r="A18" s="81">
        <v>15</v>
      </c>
      <c r="B18" s="84"/>
      <c r="C18" s="85">
        <v>2</v>
      </c>
      <c r="D18" s="85"/>
      <c r="E18" s="26" t="s">
        <v>144</v>
      </c>
      <c r="F18" s="51" t="s">
        <v>58</v>
      </c>
      <c r="G18" s="82" t="s">
        <v>50</v>
      </c>
      <c r="H18" s="81">
        <v>0</v>
      </c>
      <c r="I18" s="81">
        <v>0</v>
      </c>
      <c r="J18" s="83"/>
    </row>
    <row r="19" spans="1:10" s="73" customFormat="1" ht="18" customHeight="1">
      <c r="A19" s="81">
        <v>16</v>
      </c>
      <c r="B19" s="84"/>
      <c r="C19" s="85">
        <v>2</v>
      </c>
      <c r="D19" s="85"/>
      <c r="E19" s="26" t="s">
        <v>146</v>
      </c>
      <c r="F19" s="51" t="s">
        <v>58</v>
      </c>
      <c r="G19" s="82" t="s">
        <v>13</v>
      </c>
      <c r="H19" s="81">
        <v>0</v>
      </c>
      <c r="I19" s="81">
        <v>0</v>
      </c>
      <c r="J19" s="83"/>
    </row>
    <row r="20" spans="1:10" s="87" customFormat="1" ht="18" customHeight="1">
      <c r="A20" s="81">
        <v>17</v>
      </c>
      <c r="B20" s="84"/>
      <c r="C20" s="85">
        <v>5</v>
      </c>
      <c r="D20" s="85"/>
      <c r="E20" s="26" t="s">
        <v>14</v>
      </c>
      <c r="F20" s="51" t="s">
        <v>58</v>
      </c>
      <c r="G20" s="82" t="s">
        <v>53</v>
      </c>
      <c r="H20" s="81">
        <v>0</v>
      </c>
      <c r="I20" s="81">
        <v>0</v>
      </c>
      <c r="J20" s="86"/>
    </row>
    <row r="21" spans="1:10" s="73" customFormat="1" ht="18" customHeight="1">
      <c r="A21" s="85">
        <v>18</v>
      </c>
      <c r="B21" s="25"/>
      <c r="C21" s="81">
        <v>2</v>
      </c>
      <c r="D21" s="81"/>
      <c r="E21" s="26" t="s">
        <v>145</v>
      </c>
      <c r="F21" s="51" t="s">
        <v>58</v>
      </c>
      <c r="G21" s="82" t="s">
        <v>15</v>
      </c>
      <c r="H21" s="81">
        <v>0</v>
      </c>
      <c r="I21" s="81">
        <v>0</v>
      </c>
      <c r="J21" s="83"/>
    </row>
    <row r="22" spans="1:10" s="73" customFormat="1">
      <c r="A22" s="81">
        <v>19</v>
      </c>
      <c r="B22" s="84"/>
      <c r="C22" s="85">
        <v>2</v>
      </c>
      <c r="D22" s="85"/>
      <c r="E22" s="26" t="s">
        <v>154</v>
      </c>
      <c r="F22" s="51" t="s">
        <v>58</v>
      </c>
      <c r="G22" s="82" t="s">
        <v>156</v>
      </c>
      <c r="H22" s="81">
        <v>0</v>
      </c>
      <c r="I22" s="81">
        <v>0</v>
      </c>
      <c r="J22" s="83"/>
    </row>
    <row r="23" spans="1:10" s="73" customFormat="1" ht="18" customHeight="1">
      <c r="A23" s="81">
        <v>20</v>
      </c>
      <c r="B23" s="84"/>
      <c r="C23" s="85">
        <v>2</v>
      </c>
      <c r="D23" s="85"/>
      <c r="E23" s="26" t="s">
        <v>155</v>
      </c>
      <c r="F23" s="51" t="s">
        <v>58</v>
      </c>
      <c r="G23" s="82" t="s">
        <v>156</v>
      </c>
      <c r="H23" s="81">
        <v>0</v>
      </c>
      <c r="I23" s="81">
        <v>0</v>
      </c>
      <c r="J23" s="83"/>
    </row>
    <row r="24" spans="1:10" ht="39.75" customHeight="1">
      <c r="A24" s="49">
        <v>19</v>
      </c>
      <c r="B24" s="88"/>
      <c r="C24" s="89">
        <v>1</v>
      </c>
      <c r="D24" s="89"/>
      <c r="E24" s="30" t="s">
        <v>157</v>
      </c>
      <c r="F24" s="90" t="s">
        <v>46</v>
      </c>
      <c r="G24" s="91" t="str">
        <f>IF(E24= "Aluminum Plate (PLA Only)","No HBP(Will need to drill mounting holes)","Heat Bed Platform(Select thermistor add-on)")</f>
        <v>Heat Bed Platform(Select thermistor add-on)</v>
      </c>
      <c r="H24" s="89">
        <f ca="1">VLOOKUP(E24,'Master Data Sheet'!1:1048576,2,FALSE)</f>
        <v>32.5</v>
      </c>
      <c r="I24" s="89">
        <f ca="1">C24*H24</f>
        <v>32.5</v>
      </c>
      <c r="J24" s="32" t="str">
        <f ca="1">VLOOKUP(E24,'Master Data Sheet'!1:1048576,HYPERLINK(4),FALSE)</f>
        <v>http://www.makerfarm.com/index.php/printer-electronics/heatbed-mk1.html</v>
      </c>
    </row>
    <row r="25" spans="1:10" s="87" customFormat="1" ht="18" customHeight="1">
      <c r="A25" s="28">
        <v>20</v>
      </c>
      <c r="B25" s="29"/>
      <c r="C25" s="49">
        <v>1</v>
      </c>
      <c r="D25" s="49"/>
      <c r="E25" s="33" t="str">
        <f ca="1">VLOOKUP(E24,'Master Data Sheet'!1:1048576,5,FALSE)</f>
        <v>200mm x 200mm Boriscillate glass</v>
      </c>
      <c r="F25" s="51" t="str">
        <f>IF(E24= "Aluminum Plate (PLA Only)","","Hardware")</f>
        <v>Hardware</v>
      </c>
      <c r="G25" s="52" t="str">
        <f>IF(E24= "Aluminum Plate (PLA Only)","------","Heat Bed Platform")</f>
        <v>Heat Bed Platform</v>
      </c>
      <c r="H25" s="49">
        <f ca="1">VLOOKUP(E24,'Master Data Sheet'!1:1048576,6,FALSE)</f>
        <v>24.62</v>
      </c>
      <c r="I25" s="49">
        <f ca="1">VLOOKUP(E24,'Master Data Sheet'!1:1048576,6,FALSE)</f>
        <v>24.62</v>
      </c>
      <c r="J25" s="92" t="str">
        <f ca="1">VLOOKUP(E24,'Master Data Sheet'!1:1048576,HYPERLINK(7),FALSE)</f>
        <v>http://www.mcmaster.com/#8476K18</v>
      </c>
    </row>
    <row r="26" spans="1:10" s="87" customFormat="1" ht="18" customHeight="1">
      <c r="A26" s="89">
        <v>21</v>
      </c>
      <c r="B26" s="29"/>
      <c r="C26" s="49">
        <v>5</v>
      </c>
      <c r="D26" s="49"/>
      <c r="E26" s="34" t="s">
        <v>110</v>
      </c>
      <c r="F26" s="51" t="s">
        <v>96</v>
      </c>
      <c r="G26" s="52" t="s">
        <v>116</v>
      </c>
      <c r="H26" s="49">
        <v>6.88</v>
      </c>
      <c r="I26" s="49">
        <v>6.88</v>
      </c>
      <c r="J26" s="92" t="s">
        <v>193</v>
      </c>
    </row>
    <row r="27" spans="1:10" s="87" customFormat="1" ht="18" customHeight="1">
      <c r="A27" s="89">
        <v>22</v>
      </c>
      <c r="B27" s="29"/>
      <c r="C27" s="49">
        <v>2</v>
      </c>
      <c r="D27" s="49"/>
      <c r="E27" s="68" t="s">
        <v>163</v>
      </c>
      <c r="F27" s="51" t="str">
        <f>IF(E27= "Printed GT2 pulley","Printed Parts","Hardware")</f>
        <v>Hardware</v>
      </c>
      <c r="G27" s="52" t="s">
        <v>18</v>
      </c>
      <c r="H27" s="49" t="str">
        <f>IF(E27= "Printed GT2 pulley","0","4")</f>
        <v>4</v>
      </c>
      <c r="I27" s="49">
        <f t="shared" ref="I27:I32" si="0">C27*H27</f>
        <v>8</v>
      </c>
      <c r="J27" s="92" t="str">
        <f>IF(E27 = "Printed GT2 pulley",HYPERLINK("http://www.thingiverse.com/thing:16187"),HYPERLINK("http://www.makerfarm.com/index.php/hardware/gt2-gear.html"))</f>
        <v>http://www.makerfarm.com/index.php/hardware/gt2-gear.html</v>
      </c>
    </row>
    <row r="28" spans="1:10" s="87" customFormat="1" ht="18" customHeight="1">
      <c r="A28" s="89">
        <v>23</v>
      </c>
      <c r="B28" s="29"/>
      <c r="C28" s="49">
        <v>2</v>
      </c>
      <c r="D28" s="49"/>
      <c r="E28" s="35" t="s">
        <v>19</v>
      </c>
      <c r="F28" s="51" t="s">
        <v>96</v>
      </c>
      <c r="G28" s="52" t="s">
        <v>18</v>
      </c>
      <c r="H28" s="49">
        <v>8.5</v>
      </c>
      <c r="I28" s="49">
        <f t="shared" si="0"/>
        <v>17</v>
      </c>
      <c r="J28" s="93" t="s">
        <v>20</v>
      </c>
    </row>
    <row r="29" spans="1:10" s="87" customFormat="1" ht="18" customHeight="1">
      <c r="A29" s="89">
        <v>24</v>
      </c>
      <c r="B29" s="29"/>
      <c r="C29" s="49">
        <v>11</v>
      </c>
      <c r="D29" s="49"/>
      <c r="E29" s="35" t="s">
        <v>16</v>
      </c>
      <c r="F29" s="51" t="s">
        <v>96</v>
      </c>
      <c r="G29" s="52" t="s">
        <v>17</v>
      </c>
      <c r="H29" s="49">
        <v>1.69</v>
      </c>
      <c r="I29" s="49">
        <f t="shared" si="0"/>
        <v>18.59</v>
      </c>
      <c r="J29" s="38" t="s">
        <v>209</v>
      </c>
    </row>
    <row r="30" spans="1:10" s="87" customFormat="1" ht="18" customHeight="1">
      <c r="A30" s="89">
        <v>25</v>
      </c>
      <c r="B30" s="29"/>
      <c r="C30" s="49" t="str">
        <f>IF(E51="Direct Drive Vert-Xtruder","3","2")</f>
        <v>2</v>
      </c>
      <c r="D30" s="49"/>
      <c r="E30" s="35" t="s">
        <v>21</v>
      </c>
      <c r="F30" s="51" t="s">
        <v>96</v>
      </c>
      <c r="G30" s="52" t="s">
        <v>117</v>
      </c>
      <c r="H30" s="49">
        <v>0.75</v>
      </c>
      <c r="I30" s="49">
        <f t="shared" si="0"/>
        <v>1.5</v>
      </c>
      <c r="J30" s="38" t="s">
        <v>208</v>
      </c>
    </row>
    <row r="31" spans="1:10" s="73" customFormat="1">
      <c r="A31" s="89">
        <v>26</v>
      </c>
      <c r="B31" s="29"/>
      <c r="C31" s="49">
        <v>4</v>
      </c>
      <c r="D31" s="49"/>
      <c r="E31" s="35" t="s">
        <v>136</v>
      </c>
      <c r="F31" s="51" t="s">
        <v>96</v>
      </c>
      <c r="G31" s="52" t="s">
        <v>137</v>
      </c>
      <c r="H31" s="49">
        <v>1</v>
      </c>
      <c r="I31" s="49">
        <f t="shared" si="0"/>
        <v>4</v>
      </c>
      <c r="J31" s="36" t="s">
        <v>138</v>
      </c>
    </row>
    <row r="32" spans="1:10" s="87" customFormat="1" ht="57" customHeight="1">
      <c r="A32" s="49">
        <v>27</v>
      </c>
      <c r="B32" s="88"/>
      <c r="C32" s="89">
        <v>2</v>
      </c>
      <c r="D32" s="89"/>
      <c r="E32" s="37" t="s">
        <v>141</v>
      </c>
      <c r="F32" s="51" t="s">
        <v>96</v>
      </c>
      <c r="G32" s="94" t="s">
        <v>139</v>
      </c>
      <c r="H32" s="49">
        <v>1</v>
      </c>
      <c r="I32" s="49">
        <f t="shared" si="0"/>
        <v>2</v>
      </c>
      <c r="J32" s="92" t="s">
        <v>140</v>
      </c>
    </row>
    <row r="33" spans="1:11" s="87" customFormat="1" ht="18" customHeight="1">
      <c r="A33" s="89">
        <v>28</v>
      </c>
      <c r="B33" s="29"/>
      <c r="C33" s="49">
        <v>10</v>
      </c>
      <c r="D33" s="49"/>
      <c r="E33" s="35" t="s">
        <v>178</v>
      </c>
      <c r="F33" s="51" t="s">
        <v>96</v>
      </c>
      <c r="G33" s="52" t="s">
        <v>57</v>
      </c>
      <c r="H33" s="49">
        <v>2.56</v>
      </c>
      <c r="I33" s="49">
        <v>2.56</v>
      </c>
      <c r="J33" s="92" t="s">
        <v>175</v>
      </c>
    </row>
    <row r="34" spans="1:11" s="87" customFormat="1" ht="18" customHeight="1">
      <c r="A34" s="89">
        <v>29</v>
      </c>
      <c r="B34" s="29"/>
      <c r="C34" s="49">
        <v>25</v>
      </c>
      <c r="D34" s="49"/>
      <c r="E34" s="35" t="s">
        <v>179</v>
      </c>
      <c r="F34" s="51" t="s">
        <v>96</v>
      </c>
      <c r="G34" s="52" t="s">
        <v>57</v>
      </c>
      <c r="H34" s="49">
        <v>6.94</v>
      </c>
      <c r="I34" s="49">
        <v>6.94</v>
      </c>
      <c r="J34" s="92" t="s">
        <v>176</v>
      </c>
    </row>
    <row r="35" spans="1:11" s="87" customFormat="1" ht="18" customHeight="1">
      <c r="A35" s="89">
        <v>30</v>
      </c>
      <c r="B35" s="29"/>
      <c r="C35" s="49">
        <v>9</v>
      </c>
      <c r="D35" s="49"/>
      <c r="E35" s="35" t="s">
        <v>180</v>
      </c>
      <c r="F35" s="51" t="s">
        <v>96</v>
      </c>
      <c r="G35" s="52" t="s">
        <v>57</v>
      </c>
      <c r="H35" s="49">
        <v>3.2</v>
      </c>
      <c r="I35" s="49">
        <v>3.2</v>
      </c>
      <c r="J35" s="92" t="s">
        <v>177</v>
      </c>
    </row>
    <row r="36" spans="1:11" s="87" customFormat="1" ht="18" customHeight="1">
      <c r="A36" s="89">
        <v>31</v>
      </c>
      <c r="B36" s="29"/>
      <c r="C36" s="49">
        <v>37</v>
      </c>
      <c r="D36" s="49"/>
      <c r="E36" s="35" t="s">
        <v>25</v>
      </c>
      <c r="F36" s="51" t="s">
        <v>96</v>
      </c>
      <c r="G36" s="52" t="s">
        <v>57</v>
      </c>
      <c r="H36" s="49">
        <v>1.04</v>
      </c>
      <c r="I36" s="49">
        <v>1.04</v>
      </c>
      <c r="J36" s="92" t="s">
        <v>68</v>
      </c>
    </row>
    <row r="37" spans="1:11" s="87" customFormat="1" ht="18" customHeight="1">
      <c r="A37" s="89">
        <v>32</v>
      </c>
      <c r="B37" s="29"/>
      <c r="C37" s="49">
        <v>50</v>
      </c>
      <c r="D37" s="81"/>
      <c r="E37" s="35" t="s">
        <v>26</v>
      </c>
      <c r="F37" s="51" t="s">
        <v>96</v>
      </c>
      <c r="G37" s="82" t="s">
        <v>57</v>
      </c>
      <c r="H37" s="81">
        <v>1.58</v>
      </c>
      <c r="I37" s="81">
        <v>1.58</v>
      </c>
      <c r="J37" s="95" t="s">
        <v>69</v>
      </c>
      <c r="K37" s="96"/>
    </row>
    <row r="38" spans="1:11" s="87" customFormat="1" ht="18" customHeight="1">
      <c r="A38" s="89">
        <v>33</v>
      </c>
      <c r="B38" s="29"/>
      <c r="C38" s="49">
        <v>3</v>
      </c>
      <c r="D38" s="81"/>
      <c r="E38" s="35" t="s">
        <v>100</v>
      </c>
      <c r="F38" s="51" t="s">
        <v>96</v>
      </c>
      <c r="G38" s="82" t="s">
        <v>31</v>
      </c>
      <c r="H38" s="81">
        <v>5.7</v>
      </c>
      <c r="I38" s="81">
        <f>H38*C38</f>
        <v>17.100000000000001</v>
      </c>
      <c r="J38" s="95" t="s">
        <v>74</v>
      </c>
      <c r="K38" s="96"/>
    </row>
    <row r="39" spans="1:11" s="87" customFormat="1" ht="18" customHeight="1">
      <c r="A39" s="89"/>
      <c r="B39" s="29"/>
      <c r="C39" s="49"/>
      <c r="D39" s="81"/>
      <c r="E39" s="40" t="s">
        <v>109</v>
      </c>
      <c r="F39" s="41" t="s">
        <v>96</v>
      </c>
      <c r="G39" s="51"/>
      <c r="H39" s="81"/>
      <c r="I39" s="81"/>
      <c r="J39" s="95"/>
      <c r="K39" s="96"/>
    </row>
    <row r="40" spans="1:11" ht="18" customHeight="1">
      <c r="A40" s="89">
        <v>33</v>
      </c>
      <c r="B40" s="29"/>
      <c r="C40" s="49">
        <v>2</v>
      </c>
      <c r="D40" s="81"/>
      <c r="E40" s="42" t="str">
        <f>IF(E39 = "Metric","M6 Bolt x 110mm",IF(E39 = "US Customary system ","1/4 inch x 5 inch Bolt","--------"))</f>
        <v>--------</v>
      </c>
      <c r="F40" s="90" t="s">
        <v>96</v>
      </c>
      <c r="G40" s="97" t="s">
        <v>119</v>
      </c>
      <c r="H40" s="85" t="str">
        <f ca="1">VLOOKUP(E40,'Master Data Sheet'!1:1048576,2,FALSE)</f>
        <v>--------</v>
      </c>
      <c r="I40" s="85" t="str">
        <f ca="1">VLOOKUP(E40,'Master Data Sheet'!1:1048576,3,FALSE)</f>
        <v>--------</v>
      </c>
      <c r="J40" s="98" t="str">
        <f ca="1">VLOOKUP(E40,'Master Data Sheet'!1:1048576,HYPERLINK(4),FALSE)</f>
        <v>--------</v>
      </c>
      <c r="K40" s="39"/>
    </row>
    <row r="41" spans="1:11" ht="18" customHeight="1">
      <c r="A41" s="28">
        <v>34</v>
      </c>
      <c r="B41" s="29"/>
      <c r="C41" s="49">
        <v>8</v>
      </c>
      <c r="D41" s="81"/>
      <c r="E41" s="42" t="str">
        <f>IF(E39="Metric","M6 hex nut",IF(E39="US Customary system ","1/4 inch hex nut","--------"))</f>
        <v>--------</v>
      </c>
      <c r="F41" s="90" t="s">
        <v>96</v>
      </c>
      <c r="G41" s="97" t="s">
        <v>119</v>
      </c>
      <c r="H41" s="85" t="str">
        <f ca="1">VLOOKUP(E41,'Master Data Sheet'!1:1048576,2,FALSE)</f>
        <v>--------</v>
      </c>
      <c r="I41" s="85" t="str">
        <f ca="1">VLOOKUP(E41,'Master Data Sheet'!1:1048576,2,FALSE)</f>
        <v>--------</v>
      </c>
      <c r="J41" s="98" t="str">
        <f ca="1">VLOOKUP(E41,'Master Data Sheet'!1:1048576,HYPERLINK(4),FALSE)</f>
        <v>--------</v>
      </c>
      <c r="K41" s="39"/>
    </row>
    <row r="42" spans="1:11" ht="18" customHeight="1">
      <c r="A42" s="28">
        <v>35</v>
      </c>
      <c r="B42" s="29"/>
      <c r="C42" s="49">
        <v>6</v>
      </c>
      <c r="D42" s="81"/>
      <c r="E42" s="42" t="str">
        <f>IF(E39 = "Metric","M6 Washer",IF(E39 = "US Customary system ","#18-8 Washer (ID = 1/4 inch)","--------"))</f>
        <v>--------</v>
      </c>
      <c r="F42" s="90" t="s">
        <v>96</v>
      </c>
      <c r="G42" s="97" t="s">
        <v>119</v>
      </c>
      <c r="H42" s="85" t="str">
        <f ca="1">VLOOKUP(E42,'Master Data Sheet'!1:1048576,2,FALSE)</f>
        <v>--------</v>
      </c>
      <c r="I42" s="85" t="str">
        <f ca="1">VLOOKUP(E42,'Master Data Sheet'!1:1048576,2,FALSE)</f>
        <v>--------</v>
      </c>
      <c r="J42" s="98" t="str">
        <f ca="1">VLOOKUP(E42,'Master Data Sheet'!1:1048576,HYPERLINK(4),FALSE)</f>
        <v>--------</v>
      </c>
      <c r="K42" s="39"/>
    </row>
    <row r="43" spans="1:11" s="96" customFormat="1" ht="18" customHeight="1">
      <c r="A43" s="24"/>
      <c r="B43" s="25"/>
      <c r="C43" s="81"/>
      <c r="D43" s="81"/>
      <c r="E43" s="40" t="s">
        <v>109</v>
      </c>
      <c r="F43" s="41" t="s">
        <v>96</v>
      </c>
      <c r="G43" s="51"/>
      <c r="H43" s="81"/>
      <c r="I43" s="81"/>
      <c r="J43" s="99"/>
    </row>
    <row r="44" spans="1:11" s="39" customFormat="1" ht="18" customHeight="1">
      <c r="A44" s="85">
        <v>36</v>
      </c>
      <c r="B44" s="25"/>
      <c r="C44" s="81">
        <v>2</v>
      </c>
      <c r="D44" s="81"/>
      <c r="E44" s="43" t="str">
        <f>IF(E43 = "Metric","M8 Bolt x 30mm",IF(E43 = "US Customary system ","5/16 inch x 1-1/2 inch Bolt","--------"))</f>
        <v>--------</v>
      </c>
      <c r="F44" s="90" t="s">
        <v>96</v>
      </c>
      <c r="G44" s="97" t="s">
        <v>30</v>
      </c>
      <c r="H44" s="85" t="str">
        <f ca="1">VLOOKUP(E44,'Master Data Sheet'!1:1048576,2,FALSE)</f>
        <v>--------</v>
      </c>
      <c r="I44" s="85" t="str">
        <f ca="1">VLOOKUP(E44,'Master Data Sheet'!1:1048576,3,FALSE)</f>
        <v>--------</v>
      </c>
      <c r="J44" s="98" t="str">
        <f ca="1">VLOOKUP(E44,'Master Data Sheet'!1:1048576,HYPERLINK(4),FALSE)</f>
        <v>--------</v>
      </c>
    </row>
    <row r="45" spans="1:11" s="39" customFormat="1" ht="18" customHeight="1">
      <c r="A45" s="24">
        <v>37</v>
      </c>
      <c r="B45" s="25"/>
      <c r="C45" s="81">
        <v>47</v>
      </c>
      <c r="D45" s="81"/>
      <c r="E45" s="43" t="str">
        <f>IF(E43 = "Metric", "M8 hex nut",IF(E43 = "US Customary system ","5/16 inch Hex Nut","--------"))</f>
        <v>--------</v>
      </c>
      <c r="F45" s="90" t="s">
        <v>96</v>
      </c>
      <c r="G45" s="97" t="s">
        <v>57</v>
      </c>
      <c r="H45" s="85" t="str">
        <f ca="1">VLOOKUP(E45,'Master Data Sheet'!1:1048576,2,FALSE)</f>
        <v>--------</v>
      </c>
      <c r="I45" s="85" t="str">
        <f ca="1">VLOOKUP(E45,'Master Data Sheet'!1:1048576,2,FALSE)</f>
        <v>--------</v>
      </c>
      <c r="J45" s="98" t="str">
        <f ca="1">VLOOKUP(E45,'Master Data Sheet'!1:1048576,HYPERLINK(4),FALSE)</f>
        <v>--------</v>
      </c>
    </row>
    <row r="46" spans="1:11" s="39" customFormat="1" ht="18" customHeight="1">
      <c r="A46" s="24">
        <v>38</v>
      </c>
      <c r="B46" s="25"/>
      <c r="C46" s="81">
        <v>41</v>
      </c>
      <c r="D46" s="81"/>
      <c r="E46" s="43" t="str">
        <f>IF(E43 = "Metric","M8 washer",IF(E43 = "US Customary system ","1/4 inch (ID = 5/16 inch) Washer","--------"))</f>
        <v>--------</v>
      </c>
      <c r="F46" s="90" t="s">
        <v>96</v>
      </c>
      <c r="G46" s="97" t="s">
        <v>57</v>
      </c>
      <c r="H46" s="85" t="str">
        <f ca="1">VLOOKUP(E46,'Master Data Sheet'!1:1048576,2,FALSE)</f>
        <v>--------</v>
      </c>
      <c r="I46" s="85" t="str">
        <f ca="1">VLOOKUP(E46,'Master Data Sheet'!1:1048576,2,FALSE)</f>
        <v>--------</v>
      </c>
      <c r="J46" s="98" t="str">
        <f ca="1">VLOOKUP(E46,'Master Data Sheet'!1:1048576,HYPERLINK(4),FALSE)</f>
        <v>--------</v>
      </c>
    </row>
    <row r="47" spans="1:11" ht="18" customHeight="1">
      <c r="A47" s="24">
        <v>39</v>
      </c>
      <c r="B47" s="29"/>
      <c r="C47" s="49">
        <v>4</v>
      </c>
      <c r="D47" s="81"/>
      <c r="E47" s="43" t="str">
        <f>IF(E43 = "Metric","M8 Threaded Rod x 450mm",IF(E43 ="US Customary system ","5/16-18 x 18 inches Threaded Rod","--------"))</f>
        <v>--------</v>
      </c>
      <c r="F47" s="90" t="s">
        <v>96</v>
      </c>
      <c r="G47" s="97" t="s">
        <v>32</v>
      </c>
      <c r="H47" s="85" t="str">
        <f ca="1">VLOOKUP(E47,'Master Data Sheet'!1:1048576,2,FALSE)</f>
        <v>--------</v>
      </c>
      <c r="I47" s="85" t="str">
        <f ca="1">VLOOKUP(E47,'Master Data Sheet'!1:1048576,3,FALSE)</f>
        <v>--------</v>
      </c>
      <c r="J47" s="98" t="str">
        <f ca="1">VLOOKUP(E47,'Master Data Sheet'!1:1048576,HYPERLINK(4),FALSE)</f>
        <v>--------</v>
      </c>
      <c r="K47" s="39"/>
    </row>
    <row r="48" spans="1:11">
      <c r="A48" s="24">
        <v>40</v>
      </c>
      <c r="B48" s="29"/>
      <c r="C48" s="49">
        <v>3</v>
      </c>
      <c r="D48" s="81"/>
      <c r="E48" s="43" t="str">
        <f>IF(E43 = "Metric","M8 Threaded Rod x 400mm",IF(E43 = "US Customary system ","5/16-18 x 16 inches Threaded Rod","--------"))</f>
        <v>--------</v>
      </c>
      <c r="F48" s="90" t="s">
        <v>96</v>
      </c>
      <c r="G48" s="97" t="s">
        <v>106</v>
      </c>
      <c r="H48" s="85" t="str">
        <f ca="1">VLOOKUP(E48,'Master Data Sheet'!1:1048576,2,FALSE)</f>
        <v>--------</v>
      </c>
      <c r="I48" s="85" t="str">
        <f ca="1">VLOOKUP(E48,'Master Data Sheet'!1:1048576,2,FALSE)</f>
        <v>--------</v>
      </c>
      <c r="J48" s="98" t="str">
        <f ca="1">VLOOKUP(E48,'Master Data Sheet'!1:1048576,HYPERLINK(4),FALSE)</f>
        <v>--------</v>
      </c>
      <c r="K48" s="39"/>
    </row>
    <row r="49" spans="1:12" s="73" customFormat="1">
      <c r="A49" s="24">
        <v>41</v>
      </c>
      <c r="B49" s="29"/>
      <c r="C49" s="49">
        <v>2</v>
      </c>
      <c r="D49" s="81"/>
      <c r="E49" s="43" t="str">
        <f>IF(E43 = "Metric","M8 Threaded Rod x 300mm",IF(E43 = "US Customary system ","5/16-18 x 12 inches Threaded Rod","--------"))</f>
        <v>--------</v>
      </c>
      <c r="F49" s="90" t="s">
        <v>96</v>
      </c>
      <c r="G49" s="97" t="s">
        <v>34</v>
      </c>
      <c r="H49" s="85" t="str">
        <f ca="1">VLOOKUP(E49,'Master Data Sheet'!1:1048576,2,FALSE)</f>
        <v>--------</v>
      </c>
      <c r="I49" s="85" t="str">
        <f ca="1">VLOOKUP(E49,'Master Data Sheet'!1:1048576,2,FALSE)</f>
        <v>--------</v>
      </c>
      <c r="J49" s="98" t="str">
        <f ca="1">VLOOKUP(E49,'Master Data Sheet'!1:1048576,HYPERLINK(4),FALSE)</f>
        <v>--------</v>
      </c>
      <c r="K49" s="39"/>
      <c r="L49" s="44"/>
    </row>
    <row r="50" spans="1:12">
      <c r="A50" s="81">
        <v>42</v>
      </c>
      <c r="B50" s="88"/>
      <c r="C50" s="89">
        <v>1</v>
      </c>
      <c r="D50" s="85"/>
      <c r="E50" s="45" t="s">
        <v>127</v>
      </c>
      <c r="F50" s="90" t="s">
        <v>46</v>
      </c>
      <c r="G50" s="97" t="s">
        <v>35</v>
      </c>
      <c r="H50" s="85">
        <f ca="1">VLOOKUP(E50,'Master Data Sheet'!A1:G77,2,FALSE)</f>
        <v>0</v>
      </c>
      <c r="I50" s="85">
        <f ca="1">C50*H50</f>
        <v>0</v>
      </c>
      <c r="J50" s="100" t="str">
        <f ca="1">VLOOKUP(E50,'Master Data Sheet'!1:1048576,HYPERLINK(4),FALSE)</f>
        <v>--------</v>
      </c>
      <c r="K50" s="39"/>
    </row>
    <row r="51" spans="1:12" s="87" customFormat="1">
      <c r="A51" s="24">
        <v>43</v>
      </c>
      <c r="B51" s="29"/>
      <c r="C51" s="46">
        <f ca="1">VLOOKUP(E50,'Master Data Sheet'!1:1048576,7,FALSE)</f>
        <v>0</v>
      </c>
      <c r="D51" s="81"/>
      <c r="E51" s="47" t="str">
        <f ca="1">VLOOKUP(E50,'Master Data Sheet'!1:1048576,6,FALSE)</f>
        <v>--------</v>
      </c>
      <c r="F51" s="51" t="s">
        <v>58</v>
      </c>
      <c r="G51" s="82" t="str">
        <f>IF(E51 = "Direct Drive Vert-Xtruder","Printed extruder (Sub Assembly)","")</f>
        <v/>
      </c>
      <c r="H51" s="81">
        <v>0</v>
      </c>
      <c r="I51" s="81">
        <v>0</v>
      </c>
      <c r="J51" s="101">
        <f ca="1">VLOOKUP(E50,'Master Data Sheet'!1:1048576,HYPERLINK(5),FALSE)</f>
        <v>0</v>
      </c>
      <c r="K51" s="96"/>
    </row>
    <row r="52" spans="1:12" s="87" customFormat="1" ht="15" customHeight="1">
      <c r="A52" s="24">
        <v>44</v>
      </c>
      <c r="B52" s="29"/>
      <c r="C52" s="46">
        <v>1</v>
      </c>
      <c r="D52" s="81"/>
      <c r="E52" s="47" t="str">
        <f>IF(E51="Direct Drive Vert-Xtruder","Printed 608 lever (QUBD extruder mod by MickB)","--------")</f>
        <v>--------</v>
      </c>
      <c r="F52" s="51" t="s">
        <v>58</v>
      </c>
      <c r="G52" s="82" t="str">
        <f>IF(E51 = "Direct Drive Vert-Xtruder","Printed extruder (Sub Assembly)","")</f>
        <v/>
      </c>
      <c r="H52" s="103">
        <v>0</v>
      </c>
      <c r="I52" s="81">
        <v>0</v>
      </c>
      <c r="J52" s="82" t="str">
        <f ca="1">VLOOKUP(E52,'Master Data Sheet'!1:1048576,HYPERLINK(4),FALSE)</f>
        <v>--------</v>
      </c>
      <c r="K52" s="96"/>
    </row>
    <row r="53" spans="1:12" s="87" customFormat="1">
      <c r="A53" s="24">
        <v>45</v>
      </c>
      <c r="B53" s="29"/>
      <c r="C53" s="46">
        <v>1</v>
      </c>
      <c r="D53" s="81"/>
      <c r="E53" s="47" t="str">
        <f>IF(E51="Direct Drive Vert-Xtruder","MK7 filament drive gear","--------")</f>
        <v>--------</v>
      </c>
      <c r="F53" s="51" t="s">
        <v>96</v>
      </c>
      <c r="G53" s="82"/>
      <c r="H53" s="81" t="str">
        <f ca="1">VLOOKUP(E53,'Master Data Sheet'!A1:G77,2,FALSE)</f>
        <v>--------</v>
      </c>
      <c r="I53" s="81" t="str">
        <f ca="1">VLOOKUP(E53,'Master Data Sheet'!A1:G77,2,FALSE)</f>
        <v>--------</v>
      </c>
      <c r="J53" s="101" t="str">
        <f ca="1">VLOOKUP(E53,'Master Data Sheet'!1:1048576,HYPERLINK(4),FALSE)</f>
        <v>--------</v>
      </c>
      <c r="K53" s="96"/>
    </row>
    <row r="54" spans="1:12" s="87" customFormat="1" ht="15" customHeight="1">
      <c r="A54" s="24">
        <v>46</v>
      </c>
      <c r="B54" s="29"/>
      <c r="C54" s="46">
        <v>1</v>
      </c>
      <c r="D54" s="81"/>
      <c r="E54" s="47" t="str">
        <f>IF(E51="Direct Drive Vert-Xtruder","Lever spring (OD = 10mm or 1/2 inch)","--------")</f>
        <v>--------</v>
      </c>
      <c r="F54" s="51" t="s">
        <v>96</v>
      </c>
      <c r="G54" s="82"/>
      <c r="H54" s="81">
        <v>3</v>
      </c>
      <c r="I54" s="81">
        <v>3</v>
      </c>
      <c r="J54" s="101" t="str">
        <f ca="1">VLOOKUP(E54,'Master Data Sheet'!1:1048576,4,FALSE)</f>
        <v>--------</v>
      </c>
      <c r="K54" s="96"/>
    </row>
    <row r="55" spans="1:12" s="87" customFormat="1" ht="45">
      <c r="A55" s="24">
        <v>47</v>
      </c>
      <c r="B55" s="29"/>
      <c r="C55" s="49">
        <f ca="1">VLOOKUP(E50,'Master Data Sheet'!1:1048576,3,FALSE)</f>
        <v>4</v>
      </c>
      <c r="D55" s="49"/>
      <c r="E55" s="35" t="s">
        <v>37</v>
      </c>
      <c r="F55" s="51" t="s">
        <v>46</v>
      </c>
      <c r="G55" s="52" t="s">
        <v>38</v>
      </c>
      <c r="H55" s="49">
        <v>13.95</v>
      </c>
      <c r="I55" s="49">
        <f t="shared" ref="I55:I66" si="1">C55*H55</f>
        <v>55.8</v>
      </c>
      <c r="J55" s="102" t="s">
        <v>63</v>
      </c>
    </row>
    <row r="56" spans="1:12" s="87" customFormat="1" ht="18" customHeight="1">
      <c r="A56" s="24">
        <v>48</v>
      </c>
      <c r="B56" s="29"/>
      <c r="C56" s="49">
        <v>3</v>
      </c>
      <c r="D56" s="49"/>
      <c r="E56" s="35" t="s">
        <v>39</v>
      </c>
      <c r="F56" s="51" t="s">
        <v>46</v>
      </c>
      <c r="G56" s="52" t="s">
        <v>40</v>
      </c>
      <c r="H56" s="49">
        <v>1.1100000000000001</v>
      </c>
      <c r="I56" s="49">
        <f t="shared" si="1"/>
        <v>3.33</v>
      </c>
      <c r="J56" s="92" t="s">
        <v>54</v>
      </c>
    </row>
    <row r="57" spans="1:12">
      <c r="A57" s="24">
        <v>49</v>
      </c>
      <c r="B57" s="29"/>
      <c r="C57" s="49">
        <v>1</v>
      </c>
      <c r="D57" s="49"/>
      <c r="E57" s="48" t="s">
        <v>126</v>
      </c>
      <c r="F57" s="90" t="s">
        <v>46</v>
      </c>
      <c r="G57" s="91">
        <f ca="1">VLOOKUP(E57,'Master Data Sheet'!1:1048576,3,FALSE)</f>
        <v>0</v>
      </c>
      <c r="H57" s="89">
        <f ca="1">VLOOKUP(E57,'Master Data Sheet'!1:1048576,2,FALSE)</f>
        <v>0</v>
      </c>
      <c r="I57" s="89">
        <f t="shared" si="1"/>
        <v>0</v>
      </c>
      <c r="J57" s="32" t="str">
        <f ca="1">VLOOKUP(E57,'Master Data Sheet'!1:1048576,HYPERLINK(4),FALSE)</f>
        <v>--------</v>
      </c>
    </row>
    <row r="58" spans="1:12" s="87" customFormat="1" ht="18" customHeight="1">
      <c r="A58" s="24">
        <v>50</v>
      </c>
      <c r="B58" s="29"/>
      <c r="C58" s="49">
        <v>39</v>
      </c>
      <c r="D58" s="49"/>
      <c r="E58" s="50" t="str">
        <f>IF(OR(E57="RAMPS 1.4 Kit",E57="SainSmart Ramps 1.4 Kit"),"--------","Metal crimps")</f>
        <v>Metal crimps</v>
      </c>
      <c r="F58" s="51" t="s">
        <v>46</v>
      </c>
      <c r="G58" s="52" t="str">
        <f>IF(E57 = "RAMPS 1.4 Kit","--------","Connectors for Printrboard")</f>
        <v>Connectors for Printrboard</v>
      </c>
      <c r="H58" s="53" t="str">
        <f>IF(OR(E57="RAMPS 1.4 Kit",E57="SainSmart Ramps 1.4 Kit"),"0","0.1394")</f>
        <v>0.1394</v>
      </c>
      <c r="I58" s="49">
        <f t="shared" si="1"/>
        <v>5.4365999999999994</v>
      </c>
      <c r="J58" s="92" t="str">
        <f>IF(E57="RAMPS 1.4 Kit","--------",HYPERLINK("http://www.digikey.com/product-detail/en/0008500114/WM1114-ND/26475?cur=USD"))</f>
        <v>http://www.digikey.com/product-detail/en/0008500114/WM1114-ND/26475?cur=USD</v>
      </c>
    </row>
    <row r="59" spans="1:12" s="87" customFormat="1" ht="18" customHeight="1">
      <c r="A59" s="24">
        <v>51</v>
      </c>
      <c r="B59" s="29"/>
      <c r="C59" s="49">
        <v>6</v>
      </c>
      <c r="D59" s="49"/>
      <c r="E59" s="50" t="str">
        <f>IF(OR(E57="RAMPS 1.4 Kit",E57="SainSmart Ramps 1.4 Kit"),"--------","4-pin housing")</f>
        <v>4-pin housing</v>
      </c>
      <c r="F59" s="51" t="s">
        <v>46</v>
      </c>
      <c r="G59" s="52" t="str">
        <f>IF(E57 = "RAMPS 1.4 Kit","--------","Connectors for Printrboard")</f>
        <v>Connectors for Printrboard</v>
      </c>
      <c r="H59" s="53" t="str">
        <f>IF(OR(E57="RAMPS 1.4 Kit",E57="SainSmart Ramps 1.4 Kit"),"0","0.187")</f>
        <v>0.187</v>
      </c>
      <c r="I59" s="49">
        <f t="shared" si="1"/>
        <v>1.1219999999999999</v>
      </c>
      <c r="J59" s="92" t="str">
        <f>IF(E57="RAMPS 1.4 Kit","--------",HYPERLINK("http://www.digikey.com/product-detail/en/0022013047/WM2002-ND/26435?cur=USD"))</f>
        <v>http://www.digikey.com/product-detail/en/0022013047/WM2002-ND/26435?cur=USD</v>
      </c>
    </row>
    <row r="60" spans="1:12" s="87" customFormat="1" ht="18" customHeight="1">
      <c r="A60" s="24">
        <v>52</v>
      </c>
      <c r="B60" s="29"/>
      <c r="C60" s="49">
        <v>3</v>
      </c>
      <c r="D60" s="49"/>
      <c r="E60" s="50" t="str">
        <f>IF(OR(E57="RAMPS 1.4 Kit",E57="SainSmart Ramps 1.4 Kit"),"--------","3-pin housing")</f>
        <v>3-pin housing</v>
      </c>
      <c r="F60" s="51" t="s">
        <v>46</v>
      </c>
      <c r="G60" s="52" t="str">
        <f>IF(E57 = "RAMPS 1.4 Kit","--------","Connectors for Printrboard")</f>
        <v>Connectors for Printrboard</v>
      </c>
      <c r="H60" s="53" t="str">
        <f>IF(OR(E57="RAMPS 1.4 Kit",E57="SainSmart Ramps 1.4 Kit"),"0","0.174")</f>
        <v>0.174</v>
      </c>
      <c r="I60" s="49">
        <f t="shared" si="1"/>
        <v>0.52200000000000002</v>
      </c>
      <c r="J60" s="92" t="str">
        <f>IF(E57="RAMPS 1.4 Kit","--------",HYPERLINK("http://www.digikey.com/product-detail/en/0022013037/WM2001-ND/26433?cur=USD"))</f>
        <v>http://www.digikey.com/product-detail/en/0022013037/WM2001-ND/26433?cur=USD</v>
      </c>
    </row>
    <row r="61" spans="1:12" s="87" customFormat="1" ht="18" customHeight="1">
      <c r="A61" s="24">
        <v>53</v>
      </c>
      <c r="B61" s="29"/>
      <c r="C61" s="49">
        <v>5</v>
      </c>
      <c r="D61" s="49"/>
      <c r="E61" s="50" t="s">
        <v>133</v>
      </c>
      <c r="F61" s="51" t="s">
        <v>46</v>
      </c>
      <c r="G61" s="52" t="str">
        <f>IF(E57 = "RAMPS 1.4 Kit","Hotend connectors","Connectors for Printrboard &amp; Hotend")</f>
        <v>Connectors for Printrboard &amp; Hotend</v>
      </c>
      <c r="H61" s="53" t="str">
        <f>IF(OR(E57="RAMPS 1.4 Kit",E57="SainSmart Ramps 1.4 Kit"),"0","0.12")</f>
        <v>0.12</v>
      </c>
      <c r="I61" s="49">
        <f t="shared" si="1"/>
        <v>0.6</v>
      </c>
      <c r="J61" s="92" t="s">
        <v>134</v>
      </c>
    </row>
    <row r="62" spans="1:12" s="87" customFormat="1" ht="18" customHeight="1">
      <c r="A62" s="24">
        <v>54</v>
      </c>
      <c r="B62" s="29"/>
      <c r="C62" s="49">
        <v>1</v>
      </c>
      <c r="D62" s="49"/>
      <c r="E62" s="50" t="str">
        <f>IF(OR(E57="RAMPS 1.4 Kit",E57="SainSmart Ramps 1.4 Kit"),"--------","4-pin header")</f>
        <v>4-pin header</v>
      </c>
      <c r="F62" s="51" t="s">
        <v>46</v>
      </c>
      <c r="G62" s="52" t="str">
        <f>IF(E57 = "RAMPS 1.4 Kit","--------","Connectors for Printrboard")</f>
        <v>Connectors for Printrboard</v>
      </c>
      <c r="H62" s="53" t="str">
        <f>IF(OR(E57="RAMPS 1.4 Kit",E57="SainSmart Ramps 1.4 Kit"),"0","0.42")</f>
        <v>0.42</v>
      </c>
      <c r="I62" s="49">
        <f t="shared" si="1"/>
        <v>0.42</v>
      </c>
      <c r="J62" s="92" t="str">
        <f>IF(E57="RAMPS 1.4 Kit","--------",HYPERLINK("http://www.digikey.com/product-detail/en/0022272041/WM4113-ND/1130579"))</f>
        <v>http://www.digikey.com/product-detail/en/0022272041/WM4113-ND/1130579</v>
      </c>
    </row>
    <row r="63" spans="1:12" s="87" customFormat="1" ht="18" customHeight="1">
      <c r="A63" s="24">
        <v>55</v>
      </c>
      <c r="B63" s="29"/>
      <c r="C63" s="49">
        <v>4</v>
      </c>
      <c r="D63" s="49"/>
      <c r="E63" s="50" t="s">
        <v>114</v>
      </c>
      <c r="F63" s="51" t="s">
        <v>46</v>
      </c>
      <c r="G63" s="52" t="s">
        <v>129</v>
      </c>
      <c r="H63" s="53">
        <v>0.25</v>
      </c>
      <c r="I63" s="49">
        <f t="shared" si="1"/>
        <v>1</v>
      </c>
      <c r="J63" s="92" t="s">
        <v>115</v>
      </c>
    </row>
    <row r="64" spans="1:12" s="73" customFormat="1">
      <c r="A64" s="24">
        <v>56</v>
      </c>
      <c r="B64" s="29"/>
      <c r="C64" s="49">
        <v>2</v>
      </c>
      <c r="D64" s="49"/>
      <c r="E64" s="50" t="s">
        <v>49</v>
      </c>
      <c r="F64" s="51" t="s">
        <v>46</v>
      </c>
      <c r="G64" s="52" t="s">
        <v>132</v>
      </c>
      <c r="H64" s="53">
        <v>0</v>
      </c>
      <c r="I64" s="49">
        <f t="shared" si="1"/>
        <v>0</v>
      </c>
      <c r="J64" s="54" t="s">
        <v>128</v>
      </c>
    </row>
    <row r="65" spans="1:10" s="73" customFormat="1" ht="18" customHeight="1">
      <c r="A65" s="24">
        <v>57</v>
      </c>
      <c r="B65" s="88"/>
      <c r="C65" s="89">
        <v>4</v>
      </c>
      <c r="D65" s="89"/>
      <c r="E65" s="50" t="str">
        <f>IF(E57 = "RAMPS 1.4 Kit","--------","24 gauge wires")</f>
        <v>24 gauge wires</v>
      </c>
      <c r="F65" s="51" t="s">
        <v>46</v>
      </c>
      <c r="G65" s="52" t="s">
        <v>130</v>
      </c>
      <c r="H65" s="53">
        <v>0</v>
      </c>
      <c r="I65" s="49">
        <f t="shared" si="1"/>
        <v>0</v>
      </c>
      <c r="J65" s="54" t="s">
        <v>128</v>
      </c>
    </row>
    <row r="66" spans="1:10" ht="18" customHeight="1">
      <c r="A66" s="24">
        <v>58</v>
      </c>
      <c r="B66" s="88"/>
      <c r="C66" s="89">
        <v>1</v>
      </c>
      <c r="D66" s="89"/>
      <c r="E66" s="55" t="s">
        <v>135</v>
      </c>
      <c r="F66" s="90" t="s">
        <v>46</v>
      </c>
      <c r="G66" s="91" t="s">
        <v>118</v>
      </c>
      <c r="H66" s="103">
        <f ca="1">VLOOKUP(E66,'Master Data Sheet'!1:1048576,2,FALSE)</f>
        <v>0</v>
      </c>
      <c r="I66" s="89">
        <f t="shared" si="1"/>
        <v>0</v>
      </c>
      <c r="J66" s="32" t="str">
        <f ca="1">VLOOKUP(E66,'Master Data Sheet'!1:1048576,HYPERLINK(4),FALSE)</f>
        <v>--------</v>
      </c>
    </row>
    <row r="67" spans="1:10" s="105" customFormat="1" ht="18" customHeight="1">
      <c r="A67" s="20"/>
      <c r="B67" s="20"/>
      <c r="C67" s="56"/>
      <c r="D67" s="56"/>
      <c r="E67" s="22"/>
      <c r="F67" s="53"/>
      <c r="G67" s="49"/>
      <c r="H67" s="104"/>
      <c r="I67" s="104"/>
    </row>
    <row r="68" spans="1:10" s="105" customFormat="1" ht="30">
      <c r="A68" s="106" t="s">
        <v>107</v>
      </c>
      <c r="B68" s="107"/>
      <c r="C68" s="108">
        <f>SUMIF(F4:F66,"Printed Parts",C4:C66)</f>
        <v>36</v>
      </c>
      <c r="D68" s="108"/>
      <c r="E68" s="22"/>
      <c r="F68" s="53"/>
      <c r="G68" s="73"/>
      <c r="H68" s="109" t="s">
        <v>98</v>
      </c>
      <c r="I68" s="110">
        <f>SUMIF(F4:F66,"Hardware",I4:I66)</f>
        <v>118.01000000000002</v>
      </c>
    </row>
    <row r="69" spans="1:10" s="105" customFormat="1" ht="30">
      <c r="A69" s="108" t="s">
        <v>41</v>
      </c>
      <c r="B69" s="107"/>
      <c r="C69" s="108">
        <f>SUMIF(F5:F67,"Hardware",C5:C67)</f>
        <v>278</v>
      </c>
      <c r="D69" s="108"/>
      <c r="E69" s="22"/>
      <c r="F69" s="53"/>
      <c r="G69" s="73"/>
      <c r="H69" s="109" t="s">
        <v>97</v>
      </c>
      <c r="I69" s="110">
        <f>SUMIF(F5:F67,"Electronics",I5:I67)</f>
        <v>100.7306</v>
      </c>
    </row>
    <row r="70" spans="1:10" s="105" customFormat="1" ht="30">
      <c r="A70" s="111" t="s">
        <v>108</v>
      </c>
      <c r="B70" s="112"/>
      <c r="C70" s="59">
        <f ca="1">SUMIF(F6:F68,"Electronics",C6:C57)</f>
        <v>75</v>
      </c>
      <c r="D70" s="59"/>
      <c r="E70" s="22"/>
      <c r="F70" s="53"/>
      <c r="G70" s="73"/>
      <c r="H70" s="113" t="s">
        <v>42</v>
      </c>
      <c r="I70" s="113">
        <f>SUM(I68:I69)</f>
        <v>218.74060000000003</v>
      </c>
    </row>
    <row r="71" spans="1:10" s="105" customFormat="1" ht="18" customHeight="1">
      <c r="A71" s="108" t="s">
        <v>99</v>
      </c>
      <c r="B71" s="112"/>
      <c r="C71" s="59">
        <f ca="1">SUM(C68:C70)</f>
        <v>389</v>
      </c>
      <c r="D71" s="59"/>
      <c r="E71" s="22"/>
      <c r="F71" s="53"/>
      <c r="G71" s="73"/>
      <c r="H71" s="114"/>
    </row>
    <row r="72" spans="1:10" ht="18" customHeight="1">
      <c r="A72" s="59"/>
      <c r="C72" s="59"/>
      <c r="D72" s="59"/>
      <c r="F72" s="57"/>
      <c r="H72" s="58"/>
    </row>
    <row r="73" spans="1:10" ht="18" customHeight="1">
      <c r="A73" s="59"/>
      <c r="C73" s="59"/>
      <c r="D73" s="59"/>
      <c r="F73" s="57"/>
      <c r="H73" s="58"/>
    </row>
    <row r="74" spans="1:10" ht="18" customHeight="1">
      <c r="A74" s="59"/>
      <c r="C74" s="59"/>
      <c r="D74" s="59"/>
      <c r="F74" s="57"/>
      <c r="H74" s="58"/>
    </row>
    <row r="75" spans="1:10">
      <c r="F75" s="57"/>
    </row>
    <row r="76" spans="1:10">
      <c r="F76" s="57"/>
    </row>
    <row r="77" spans="1:10">
      <c r="F77" s="57"/>
    </row>
    <row r="78" spans="1:10">
      <c r="F78" s="57"/>
    </row>
    <row r="79" spans="1:10">
      <c r="F79" s="57"/>
    </row>
    <row r="80" spans="1:10">
      <c r="F80" s="57"/>
    </row>
    <row r="81" spans="6:6">
      <c r="F81" s="57"/>
    </row>
    <row r="82" spans="6:6">
      <c r="F82" s="57"/>
    </row>
    <row r="83" spans="6:6">
      <c r="F83" s="57"/>
    </row>
    <row r="84" spans="6:6">
      <c r="F84" s="57"/>
    </row>
    <row r="85" spans="6:6">
      <c r="F85" s="57"/>
    </row>
    <row r="86" spans="6:6">
      <c r="F86" s="57"/>
    </row>
    <row r="87" spans="6:6">
      <c r="F87" s="57"/>
    </row>
    <row r="88" spans="6:6">
      <c r="F88" s="57"/>
    </row>
    <row r="89" spans="6:6">
      <c r="F89" s="57"/>
    </row>
    <row r="90" spans="6:6">
      <c r="F90" s="57"/>
    </row>
    <row r="91" spans="6:6">
      <c r="F91" s="57"/>
    </row>
    <row r="92" spans="6:6">
      <c r="F92" s="57"/>
    </row>
    <row r="93" spans="6:6">
      <c r="F93" s="57"/>
    </row>
    <row r="94" spans="6:6">
      <c r="F94" s="57"/>
    </row>
    <row r="95" spans="6:6">
      <c r="F95" s="57"/>
    </row>
    <row r="96" spans="6:6">
      <c r="F96" s="57"/>
    </row>
    <row r="97" spans="6:6">
      <c r="F97" s="57"/>
    </row>
    <row r="98" spans="6:6">
      <c r="F98" s="57"/>
    </row>
    <row r="99" spans="6:6">
      <c r="F99" s="57"/>
    </row>
    <row r="100" spans="6:6">
      <c r="F100" s="57"/>
    </row>
    <row r="101" spans="6:6">
      <c r="F101" s="57"/>
    </row>
    <row r="102" spans="6:6">
      <c r="F102" s="57"/>
    </row>
    <row r="103" spans="6:6">
      <c r="F103" s="57"/>
    </row>
    <row r="104" spans="6:6">
      <c r="F104" s="57"/>
    </row>
    <row r="105" spans="6:6">
      <c r="F105" s="57"/>
    </row>
    <row r="106" spans="6:6">
      <c r="F106" s="57"/>
    </row>
    <row r="107" spans="6:6">
      <c r="F107" s="57"/>
    </row>
    <row r="108" spans="6:6">
      <c r="F108" s="57"/>
    </row>
    <row r="109" spans="6:6">
      <c r="F109" s="57"/>
    </row>
    <row r="110" spans="6:6">
      <c r="F110" s="57"/>
    </row>
    <row r="111" spans="6:6">
      <c r="F111" s="57"/>
    </row>
    <row r="112" spans="6:6">
      <c r="F112" s="57"/>
    </row>
    <row r="113" spans="6:6">
      <c r="F113" s="57"/>
    </row>
    <row r="114" spans="6:6">
      <c r="F114" s="57"/>
    </row>
    <row r="115" spans="6:6">
      <c r="F115" s="57"/>
    </row>
    <row r="116" spans="6:6">
      <c r="F116" s="57"/>
    </row>
    <row r="117" spans="6:6">
      <c r="F117" s="57"/>
    </row>
    <row r="118" spans="6:6">
      <c r="F118" s="57"/>
    </row>
    <row r="119" spans="6:6">
      <c r="F119" s="57"/>
    </row>
    <row r="120" spans="6:6">
      <c r="F120" s="57"/>
    </row>
    <row r="121" spans="6:6">
      <c r="F121" s="57"/>
    </row>
    <row r="122" spans="6:6">
      <c r="F122" s="57"/>
    </row>
    <row r="123" spans="6:6">
      <c r="F123" s="57"/>
    </row>
    <row r="124" spans="6:6">
      <c r="F124" s="57"/>
    </row>
    <row r="125" spans="6:6">
      <c r="F125" s="57"/>
    </row>
    <row r="126" spans="6:6">
      <c r="F126" s="57"/>
    </row>
    <row r="127" spans="6:6">
      <c r="F127" s="57"/>
    </row>
    <row r="128" spans="6:6">
      <c r="F128" s="57"/>
    </row>
    <row r="129" spans="6:6">
      <c r="F129" s="57"/>
    </row>
    <row r="130" spans="6:6">
      <c r="F130" s="57"/>
    </row>
    <row r="131" spans="6:6">
      <c r="F131" s="57"/>
    </row>
    <row r="132" spans="6:6">
      <c r="F132" s="57"/>
    </row>
    <row r="133" spans="6:6">
      <c r="F133" s="57"/>
    </row>
    <row r="134" spans="6:6">
      <c r="F134" s="57"/>
    </row>
    <row r="135" spans="6:6">
      <c r="F135" s="57"/>
    </row>
    <row r="136" spans="6:6">
      <c r="F136" s="57"/>
    </row>
    <row r="137" spans="6:6">
      <c r="F137" s="57"/>
    </row>
    <row r="138" spans="6:6">
      <c r="F138" s="57"/>
    </row>
    <row r="139" spans="6:6">
      <c r="F139" s="57"/>
    </row>
    <row r="140" spans="6:6">
      <c r="F140" s="57"/>
    </row>
    <row r="141" spans="6:6">
      <c r="F141" s="57"/>
    </row>
    <row r="142" spans="6:6">
      <c r="F142" s="57"/>
    </row>
    <row r="143" spans="6:6">
      <c r="F143" s="57"/>
    </row>
    <row r="144" spans="6:6">
      <c r="F144" s="57"/>
    </row>
    <row r="145" spans="6:6">
      <c r="F145" s="57"/>
    </row>
    <row r="146" spans="6:6">
      <c r="F146" s="57"/>
    </row>
    <row r="147" spans="6:6">
      <c r="F147" s="57"/>
    </row>
    <row r="148" spans="6:6">
      <c r="F148" s="57"/>
    </row>
    <row r="149" spans="6:6">
      <c r="F149" s="57"/>
    </row>
    <row r="150" spans="6:6">
      <c r="F150" s="57"/>
    </row>
    <row r="151" spans="6:6">
      <c r="F151" s="57"/>
    </row>
    <row r="152" spans="6:6">
      <c r="F152" s="57"/>
    </row>
    <row r="153" spans="6:6">
      <c r="F153" s="57"/>
    </row>
    <row r="154" spans="6:6">
      <c r="F154" s="57"/>
    </row>
    <row r="155" spans="6:6">
      <c r="F155" s="57"/>
    </row>
    <row r="156" spans="6:6">
      <c r="F156" s="57"/>
    </row>
    <row r="157" spans="6:6">
      <c r="F157" s="57"/>
    </row>
    <row r="158" spans="6:6">
      <c r="F158" s="57"/>
    </row>
    <row r="159" spans="6:6">
      <c r="F159" s="57"/>
    </row>
    <row r="160" spans="6:6">
      <c r="F160" s="57"/>
    </row>
    <row r="161" spans="6:6">
      <c r="F161" s="57"/>
    </row>
    <row r="162" spans="6:6">
      <c r="F162" s="57"/>
    </row>
    <row r="163" spans="6:6">
      <c r="F163" s="57"/>
    </row>
    <row r="164" spans="6:6">
      <c r="F164" s="57"/>
    </row>
    <row r="165" spans="6:6">
      <c r="F165" s="57"/>
    </row>
    <row r="166" spans="6:6">
      <c r="F166" s="57"/>
    </row>
    <row r="167" spans="6:6">
      <c r="F167" s="57"/>
    </row>
    <row r="168" spans="6:6">
      <c r="F168" s="57"/>
    </row>
    <row r="169" spans="6:6">
      <c r="F169" s="57"/>
    </row>
    <row r="170" spans="6:6">
      <c r="F170" s="57"/>
    </row>
    <row r="171" spans="6:6">
      <c r="F171" s="57"/>
    </row>
    <row r="172" spans="6:6">
      <c r="F172" s="57"/>
    </row>
    <row r="173" spans="6:6">
      <c r="F173" s="57"/>
    </row>
    <row r="174" spans="6:6">
      <c r="F174" s="57"/>
    </row>
    <row r="175" spans="6:6">
      <c r="F175" s="57"/>
    </row>
    <row r="176" spans="6:6">
      <c r="F176" s="57"/>
    </row>
    <row r="177" spans="6:6">
      <c r="F177" s="57"/>
    </row>
    <row r="178" spans="6:6">
      <c r="F178" s="57"/>
    </row>
    <row r="179" spans="6:6">
      <c r="F179" s="57"/>
    </row>
    <row r="180" spans="6:6">
      <c r="F180" s="57"/>
    </row>
    <row r="181" spans="6:6">
      <c r="F181" s="57"/>
    </row>
    <row r="182" spans="6:6">
      <c r="F182" s="57"/>
    </row>
    <row r="183" spans="6:6">
      <c r="F183" s="57"/>
    </row>
    <row r="184" spans="6:6">
      <c r="F184" s="57"/>
    </row>
    <row r="185" spans="6:6">
      <c r="F185" s="57"/>
    </row>
    <row r="186" spans="6:6">
      <c r="F186" s="57"/>
    </row>
    <row r="187" spans="6:6">
      <c r="F187" s="57"/>
    </row>
    <row r="188" spans="6:6">
      <c r="F188" s="57"/>
    </row>
    <row r="189" spans="6:6">
      <c r="F189" s="57"/>
    </row>
    <row r="190" spans="6:6">
      <c r="F190" s="57"/>
    </row>
    <row r="191" spans="6:6">
      <c r="F191" s="57"/>
    </row>
    <row r="192" spans="6:6">
      <c r="F192" s="57"/>
    </row>
    <row r="193" spans="6:6">
      <c r="F193" s="57"/>
    </row>
    <row r="194" spans="6:6">
      <c r="F194" s="57"/>
    </row>
    <row r="195" spans="6:6">
      <c r="F195" s="57"/>
    </row>
    <row r="196" spans="6:6">
      <c r="F196" s="57"/>
    </row>
    <row r="197" spans="6:6">
      <c r="F197" s="57"/>
    </row>
    <row r="198" spans="6:6">
      <c r="F198" s="57"/>
    </row>
    <row r="199" spans="6:6">
      <c r="F199" s="57"/>
    </row>
    <row r="200" spans="6:6">
      <c r="F200" s="57"/>
    </row>
    <row r="201" spans="6:6">
      <c r="F201" s="57"/>
    </row>
    <row r="202" spans="6:6">
      <c r="F202" s="57"/>
    </row>
    <row r="203" spans="6:6">
      <c r="F203" s="57"/>
    </row>
    <row r="204" spans="6:6">
      <c r="F204" s="57"/>
    </row>
    <row r="205" spans="6:6">
      <c r="F205" s="57"/>
    </row>
    <row r="206" spans="6:6">
      <c r="F206" s="57"/>
    </row>
    <row r="207" spans="6:6">
      <c r="F207" s="57"/>
    </row>
    <row r="208" spans="6:6">
      <c r="F208" s="57"/>
    </row>
    <row r="209" spans="6:6">
      <c r="F209" s="57"/>
    </row>
    <row r="210" spans="6:6">
      <c r="F210" s="57"/>
    </row>
    <row r="211" spans="6:6">
      <c r="F211" s="57"/>
    </row>
    <row r="212" spans="6:6">
      <c r="F212" s="57"/>
    </row>
    <row r="213" spans="6:6">
      <c r="F213" s="57"/>
    </row>
    <row r="214" spans="6:6">
      <c r="F214" s="57"/>
    </row>
    <row r="215" spans="6:6">
      <c r="F215" s="57"/>
    </row>
    <row r="216" spans="6:6">
      <c r="F216" s="57"/>
    </row>
    <row r="217" spans="6:6">
      <c r="F217" s="57"/>
    </row>
    <row r="218" spans="6:6">
      <c r="F218" s="57"/>
    </row>
    <row r="219" spans="6:6">
      <c r="F219" s="57"/>
    </row>
    <row r="220" spans="6:6">
      <c r="F220" s="57"/>
    </row>
    <row r="221" spans="6:6">
      <c r="F221" s="57"/>
    </row>
    <row r="222" spans="6:6">
      <c r="F222" s="57"/>
    </row>
    <row r="223" spans="6:6">
      <c r="F223" s="57"/>
    </row>
    <row r="224" spans="6:6">
      <c r="F224" s="57"/>
    </row>
    <row r="225" spans="6:6">
      <c r="F225" s="57"/>
    </row>
    <row r="226" spans="6:6">
      <c r="F226" s="57"/>
    </row>
    <row r="227" spans="6:6">
      <c r="F227" s="57"/>
    </row>
    <row r="228" spans="6:6">
      <c r="F228" s="57"/>
    </row>
    <row r="229" spans="6:6">
      <c r="F229" s="57"/>
    </row>
    <row r="230" spans="6:6">
      <c r="F230" s="57"/>
    </row>
    <row r="231" spans="6:6">
      <c r="F231" s="57"/>
    </row>
    <row r="232" spans="6:6">
      <c r="F232" s="57"/>
    </row>
    <row r="233" spans="6:6">
      <c r="F233" s="57"/>
    </row>
    <row r="234" spans="6:6">
      <c r="F234" s="57"/>
    </row>
    <row r="235" spans="6:6">
      <c r="F235" s="57"/>
    </row>
    <row r="236" spans="6:6">
      <c r="F236" s="57"/>
    </row>
    <row r="237" spans="6:6">
      <c r="F237" s="57"/>
    </row>
    <row r="238" spans="6:6">
      <c r="F238" s="57"/>
    </row>
    <row r="239" spans="6:6">
      <c r="F239" s="57"/>
    </row>
    <row r="240" spans="6:6">
      <c r="F240" s="57"/>
    </row>
    <row r="241" spans="6:6">
      <c r="F241" s="57"/>
    </row>
    <row r="242" spans="6:6">
      <c r="F242" s="57"/>
    </row>
    <row r="243" spans="6:6">
      <c r="F243" s="57"/>
    </row>
    <row r="244" spans="6:6">
      <c r="F244" s="57"/>
    </row>
    <row r="245" spans="6:6">
      <c r="F245" s="57"/>
    </row>
    <row r="246" spans="6:6">
      <c r="F246" s="57"/>
    </row>
    <row r="247" spans="6:6">
      <c r="F247" s="57"/>
    </row>
    <row r="248" spans="6:6">
      <c r="F248" s="57"/>
    </row>
    <row r="249" spans="6:6">
      <c r="F249" s="57"/>
    </row>
    <row r="250" spans="6:6">
      <c r="F250" s="57"/>
    </row>
    <row r="251" spans="6:6">
      <c r="F251" s="57"/>
    </row>
    <row r="252" spans="6:6">
      <c r="F252" s="57"/>
    </row>
    <row r="253" spans="6:6">
      <c r="F253" s="57"/>
    </row>
    <row r="254" spans="6:6">
      <c r="F254" s="57"/>
    </row>
    <row r="255" spans="6:6">
      <c r="F255" s="57"/>
    </row>
    <row r="256" spans="6:6">
      <c r="F256" s="57"/>
    </row>
    <row r="257" spans="6:6">
      <c r="F257" s="57"/>
    </row>
    <row r="258" spans="6:6">
      <c r="F258" s="57"/>
    </row>
    <row r="259" spans="6:6">
      <c r="F259" s="57"/>
    </row>
    <row r="260" spans="6:6">
      <c r="F260" s="57"/>
    </row>
    <row r="261" spans="6:6">
      <c r="F261" s="57"/>
    </row>
    <row r="262" spans="6:6">
      <c r="F262" s="57"/>
    </row>
    <row r="263" spans="6:6">
      <c r="F263" s="57"/>
    </row>
    <row r="264" spans="6:6">
      <c r="F264" s="57"/>
    </row>
    <row r="265" spans="6:6">
      <c r="F265" s="57"/>
    </row>
    <row r="266" spans="6:6">
      <c r="F266" s="57"/>
    </row>
    <row r="267" spans="6:6">
      <c r="F267" s="57"/>
    </row>
    <row r="268" spans="6:6">
      <c r="F268" s="57"/>
    </row>
    <row r="269" spans="6:6">
      <c r="F269" s="57"/>
    </row>
    <row r="270" spans="6:6">
      <c r="F270" s="57"/>
    </row>
  </sheetData>
  <sheetCalcPr fullCalcOnLoad="1"/>
  <autoFilter ref="E3:J66"/>
  <dataConsolidate/>
  <mergeCells count="1">
    <mergeCell ref="A1:J1"/>
  </mergeCells>
  <phoneticPr fontId="8" type="noConversion"/>
  <dataValidations count="5">
    <dataValidation type="list" allowBlank="1" showInputMessage="1" showErrorMessage="1" sqref="E66">
      <formula1>Power</formula1>
    </dataValidation>
    <dataValidation type="list" allowBlank="1" showInputMessage="1" showErrorMessage="1" sqref="E50">
      <formula1>Extruder</formula1>
    </dataValidation>
    <dataValidation type="list" allowBlank="1" showInputMessage="1" showErrorMessage="1" sqref="E24">
      <formula1>_Bed2</formula1>
    </dataValidation>
    <dataValidation type="list" allowBlank="1" showInputMessage="1" showErrorMessage="1" sqref="E39 E43">
      <formula1>Units</formula1>
    </dataValidation>
    <dataValidation type="list" allowBlank="1" showInputMessage="1" showErrorMessage="1" sqref="E57">
      <formula1>Board2</formula1>
    </dataValidation>
  </dataValidations>
  <hyperlinks>
    <hyperlink ref="J55" r:id="rId1" location="tab-field-specifications  "/>
    <hyperlink ref="J56" r:id="rId2"/>
    <hyperlink ref="J58" r:id="rId3" display="http://www.digikey.com/product-detail/en/0008500114/WM1114-ND/26475?cur=USD"/>
    <hyperlink ref="J59" r:id="rId4" display="http://www.digikey.com/product-detail/en/0022013047/WM2002-ND/26435?cur=USD"/>
    <hyperlink ref="J60" r:id="rId5" display="http://www.digikey.com/product-detail/en/0022013037/WM2001-ND/26433?cur=USD"/>
    <hyperlink ref="J61" r:id="rId6"/>
    <hyperlink ref="J38" r:id="rId7" location="88625K67"/>
    <hyperlink ref="J62" r:id="rId8" display="http://www.digikey.com/product-detail/en/0022272041/WM4113-ND/1130579"/>
    <hyperlink ref="J63" r:id="rId9"/>
    <hyperlink ref="J32" r:id="rId10" location="standard-vinyl-tubing/=mry334" display="http://www.mcmaster.com/ - standard-vinyl-tubing/=mry334"/>
    <hyperlink ref="J33" r:id="rId11" location="92005A120"/>
    <hyperlink ref="J28" r:id="rId12"/>
    <hyperlink ref="J30" r:id="rId13"/>
    <hyperlink ref="J29" r:id="rId14"/>
  </hyperlinks>
  <printOptions gridLines="1"/>
  <pageMargins left="0.25" right="0.25" top="0.25" bottom="0.25" header="0.3" footer="0.3"/>
  <pageSetup scale="36" orientation="portrait" r:id="rId15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workbookViewId="0">
      <selection activeCell="A12" sqref="A12"/>
    </sheetView>
  </sheetViews>
  <sheetFormatPr defaultRowHeight="15"/>
  <cols>
    <col min="1" max="1" width="67.5703125" bestFit="1" customWidth="1"/>
    <col min="2" max="2" width="6.7109375" style="17" bestFit="1" customWidth="1"/>
    <col min="3" max="3" width="28.85546875" style="17" bestFit="1" customWidth="1"/>
    <col min="4" max="4" width="93.28515625" bestFit="1" customWidth="1"/>
    <col min="5" max="5" width="38.5703125" bestFit="1" customWidth="1"/>
    <col min="6" max="6" width="14.28515625" bestFit="1" customWidth="1"/>
    <col min="7" max="7" width="2" bestFit="1" customWidth="1"/>
  </cols>
  <sheetData>
    <row r="1" spans="1:7" ht="15" customHeight="1" thickTop="1" thickBot="1">
      <c r="A1" s="11" t="s">
        <v>103</v>
      </c>
      <c r="B1" s="16"/>
      <c r="C1" s="2"/>
      <c r="D1" s="1"/>
      <c r="E1" s="1"/>
      <c r="F1" s="3"/>
      <c r="G1" s="1"/>
    </row>
    <row r="2" spans="1:7" ht="15" customHeight="1" thickTop="1" thickBot="1">
      <c r="A2" s="19"/>
      <c r="B2" s="16"/>
      <c r="C2" s="2"/>
      <c r="D2" s="1"/>
      <c r="E2" s="1"/>
      <c r="F2" s="3"/>
      <c r="G2" s="1"/>
    </row>
    <row r="3" spans="1:7" ht="15" customHeight="1" thickTop="1">
      <c r="A3" s="12" t="s">
        <v>43</v>
      </c>
      <c r="B3" s="16"/>
      <c r="C3" s="2"/>
      <c r="D3" s="1"/>
      <c r="E3" s="1"/>
      <c r="F3" s="3"/>
      <c r="G3" s="1"/>
    </row>
    <row r="4" spans="1:7" ht="15" customHeight="1">
      <c r="A4" s="8" t="s">
        <v>45</v>
      </c>
      <c r="B4" s="31">
        <v>3.43</v>
      </c>
      <c r="C4" s="31">
        <v>3.43</v>
      </c>
      <c r="D4" s="4" t="s">
        <v>143</v>
      </c>
      <c r="E4" s="7" t="s">
        <v>162</v>
      </c>
      <c r="F4" s="18" t="s">
        <v>94</v>
      </c>
      <c r="G4" s="18" t="s">
        <v>94</v>
      </c>
    </row>
    <row r="5" spans="1:7" ht="15" customHeight="1">
      <c r="A5" s="7" t="s">
        <v>44</v>
      </c>
      <c r="B5" s="16">
        <v>23</v>
      </c>
      <c r="C5" s="2">
        <v>23</v>
      </c>
      <c r="D5" s="4" t="s">
        <v>142</v>
      </c>
      <c r="E5" s="7" t="s">
        <v>159</v>
      </c>
      <c r="F5" s="27">
        <v>13.58</v>
      </c>
      <c r="G5" s="63" t="s">
        <v>161</v>
      </c>
    </row>
    <row r="6" spans="1:7" ht="15" customHeight="1">
      <c r="A6" s="7" t="s">
        <v>157</v>
      </c>
      <c r="B6" s="16">
        <v>32.5</v>
      </c>
      <c r="C6" s="2">
        <v>32.5</v>
      </c>
      <c r="D6" s="4" t="s">
        <v>158</v>
      </c>
      <c r="E6" s="7" t="s">
        <v>160</v>
      </c>
      <c r="F6" s="16">
        <v>24.62</v>
      </c>
      <c r="G6" s="4" t="s">
        <v>181</v>
      </c>
    </row>
    <row r="7" spans="1:7" ht="15" customHeight="1">
      <c r="A7" s="7"/>
      <c r="B7" s="16"/>
      <c r="C7" s="2"/>
      <c r="D7" s="4"/>
      <c r="E7" s="1"/>
      <c r="F7" s="3"/>
      <c r="G7" s="1"/>
    </row>
    <row r="8" spans="1:7" ht="15" customHeight="1">
      <c r="A8" s="62" t="s">
        <v>201</v>
      </c>
      <c r="B8" s="16"/>
      <c r="C8" s="115"/>
      <c r="D8" s="118"/>
      <c r="E8" s="117"/>
      <c r="F8" s="119"/>
      <c r="G8" s="117"/>
    </row>
    <row r="9" spans="1:7" ht="15" customHeight="1">
      <c r="A9" s="7" t="s">
        <v>202</v>
      </c>
      <c r="B9" s="17">
        <v>8</v>
      </c>
      <c r="C9" s="17">
        <v>8</v>
      </c>
      <c r="D9" s="118" t="s">
        <v>224</v>
      </c>
      <c r="E9" s="117"/>
      <c r="F9" s="119"/>
      <c r="G9" s="117"/>
    </row>
    <row r="10" spans="1:7" ht="15" customHeight="1">
      <c r="A10" s="7" t="s">
        <v>205</v>
      </c>
      <c r="D10" s="127" t="s">
        <v>206</v>
      </c>
      <c r="E10" s="117"/>
      <c r="F10" s="119"/>
      <c r="G10" s="117"/>
    </row>
    <row r="11" spans="1:7" ht="15" customHeight="1">
      <c r="A11" s="7" t="s">
        <v>203</v>
      </c>
      <c r="B11" s="18" t="s">
        <v>94</v>
      </c>
      <c r="C11" s="18" t="s">
        <v>94</v>
      </c>
      <c r="D11" s="118" t="s">
        <v>204</v>
      </c>
      <c r="E11" s="117"/>
      <c r="F11" s="119"/>
      <c r="G11" s="117"/>
    </row>
    <row r="12" spans="1:7" ht="15" customHeight="1">
      <c r="A12" s="7"/>
      <c r="B12" s="16"/>
      <c r="C12" s="2"/>
      <c r="D12" s="1"/>
      <c r="E12" s="1"/>
      <c r="F12" s="3"/>
      <c r="G12" s="1"/>
    </row>
    <row r="13" spans="1:7" ht="15" customHeight="1">
      <c r="A13" s="12" t="s">
        <v>47</v>
      </c>
      <c r="B13" s="16"/>
      <c r="C13" s="2"/>
      <c r="D13" s="1"/>
      <c r="E13" s="1"/>
      <c r="F13" s="3"/>
      <c r="G13" s="1"/>
    </row>
    <row r="14" spans="1:7" ht="15" customHeight="1">
      <c r="A14" s="6" t="s">
        <v>56</v>
      </c>
      <c r="B14" s="18" t="s">
        <v>94</v>
      </c>
      <c r="C14" s="64" t="s">
        <v>94</v>
      </c>
      <c r="D14" s="65" t="s">
        <v>94</v>
      </c>
      <c r="E14" s="1"/>
      <c r="F14" s="3"/>
      <c r="G14" s="1"/>
    </row>
    <row r="15" spans="1:7" ht="15" customHeight="1">
      <c r="A15" s="8" t="s">
        <v>163</v>
      </c>
      <c r="B15" s="16">
        <v>7</v>
      </c>
      <c r="C15" s="2">
        <v>7</v>
      </c>
      <c r="D15" s="4" t="s">
        <v>165</v>
      </c>
      <c r="E15" s="1"/>
      <c r="F15" s="3"/>
      <c r="G15" s="1"/>
    </row>
    <row r="16" spans="1:7" ht="15" customHeight="1">
      <c r="A16" s="8" t="s">
        <v>163</v>
      </c>
      <c r="B16" s="16">
        <v>4</v>
      </c>
      <c r="C16" s="2">
        <v>4</v>
      </c>
      <c r="D16" s="4" t="s">
        <v>164</v>
      </c>
      <c r="E16" s="1"/>
      <c r="F16" s="3"/>
      <c r="G16" s="1"/>
    </row>
    <row r="17" spans="1:7" ht="15" customHeight="1">
      <c r="A17" s="8"/>
      <c r="B17" s="16"/>
      <c r="C17" s="2"/>
      <c r="D17" s="4"/>
      <c r="E17" s="1"/>
      <c r="F17" s="3"/>
      <c r="G17" s="1"/>
    </row>
    <row r="18" spans="1:7" ht="15" customHeight="1">
      <c r="A18" s="12" t="s">
        <v>167</v>
      </c>
      <c r="B18" s="16"/>
      <c r="C18" s="2"/>
      <c r="D18" s="4"/>
      <c r="E18" s="1"/>
      <c r="F18" s="3"/>
      <c r="G18" s="1"/>
    </row>
    <row r="19" spans="1:7" ht="15" customHeight="1">
      <c r="A19" s="4" t="s">
        <v>166</v>
      </c>
      <c r="B19" s="16"/>
      <c r="C19" s="2"/>
      <c r="D19" s="4"/>
      <c r="E19" s="1"/>
      <c r="F19" s="3"/>
      <c r="G19" s="1"/>
    </row>
    <row r="20" spans="1:7" ht="15" customHeight="1">
      <c r="A20" s="66" t="s">
        <v>20</v>
      </c>
      <c r="B20" s="16"/>
      <c r="C20" s="2"/>
      <c r="D20" s="1"/>
      <c r="E20" s="1"/>
      <c r="F20" s="3"/>
      <c r="G20" s="1"/>
    </row>
    <row r="21" spans="1:7" ht="15" customHeight="1">
      <c r="A21" s="13" t="s">
        <v>48</v>
      </c>
      <c r="B21" s="16"/>
      <c r="C21" s="2"/>
      <c r="D21" s="2"/>
      <c r="E21" s="1"/>
      <c r="F21" s="3"/>
      <c r="G21" s="1"/>
    </row>
    <row r="22" spans="1:7" ht="15" customHeight="1">
      <c r="A22" s="10" t="s">
        <v>127</v>
      </c>
      <c r="B22" s="16">
        <v>0</v>
      </c>
      <c r="C22" s="2">
        <v>4</v>
      </c>
      <c r="D22" s="18" t="s">
        <v>94</v>
      </c>
      <c r="E22" s="1"/>
      <c r="F22" s="18" t="s">
        <v>94</v>
      </c>
      <c r="G22" s="1">
        <v>0</v>
      </c>
    </row>
    <row r="23" spans="1:7" ht="15" customHeight="1">
      <c r="A23" s="10" t="s">
        <v>91</v>
      </c>
      <c r="B23" s="16">
        <v>49</v>
      </c>
      <c r="C23" s="115">
        <v>4</v>
      </c>
      <c r="D23" s="116" t="s">
        <v>36</v>
      </c>
      <c r="E23" s="117"/>
      <c r="F23" s="18" t="s">
        <v>94</v>
      </c>
      <c r="G23" s="117">
        <v>0</v>
      </c>
    </row>
    <row r="24" spans="1:7" ht="15" customHeight="1">
      <c r="A24" s="14" t="s">
        <v>195</v>
      </c>
      <c r="B24" s="16">
        <v>55</v>
      </c>
      <c r="C24" s="115">
        <v>5</v>
      </c>
      <c r="D24" s="118" t="s">
        <v>185</v>
      </c>
      <c r="E24" s="118" t="s">
        <v>200</v>
      </c>
      <c r="F24" s="119" t="s">
        <v>199</v>
      </c>
      <c r="G24" s="117">
        <v>1</v>
      </c>
    </row>
    <row r="25" spans="1:7" ht="15" customHeight="1">
      <c r="A25" s="14" t="s">
        <v>196</v>
      </c>
      <c r="B25" s="16">
        <v>59</v>
      </c>
      <c r="C25" s="115">
        <v>5</v>
      </c>
      <c r="D25" s="118" t="s">
        <v>220</v>
      </c>
      <c r="E25" s="118" t="s">
        <v>200</v>
      </c>
      <c r="F25" s="119" t="s">
        <v>199</v>
      </c>
      <c r="G25" s="117">
        <v>1</v>
      </c>
    </row>
    <row r="26" spans="1:7" ht="15" customHeight="1">
      <c r="A26" s="14" t="s">
        <v>210</v>
      </c>
      <c r="B26" s="16">
        <v>60</v>
      </c>
      <c r="C26" s="115">
        <v>5</v>
      </c>
      <c r="D26" s="118" t="s">
        <v>212</v>
      </c>
      <c r="E26" s="118" t="s">
        <v>200</v>
      </c>
      <c r="F26" s="119" t="s">
        <v>199</v>
      </c>
      <c r="G26" s="117"/>
    </row>
    <row r="27" spans="1:7" ht="15" customHeight="1">
      <c r="A27" s="14" t="s">
        <v>222</v>
      </c>
      <c r="B27" s="16">
        <v>82.99</v>
      </c>
      <c r="C27" s="115">
        <v>5</v>
      </c>
      <c r="D27" s="118" t="s">
        <v>221</v>
      </c>
      <c r="E27" s="118" t="s">
        <v>200</v>
      </c>
      <c r="F27" s="119" t="s">
        <v>199</v>
      </c>
      <c r="G27" s="117">
        <v>1</v>
      </c>
    </row>
    <row r="28" spans="1:7" ht="15" customHeight="1">
      <c r="A28" s="14" t="s">
        <v>197</v>
      </c>
      <c r="B28" s="16">
        <v>50</v>
      </c>
      <c r="C28" s="115">
        <v>4</v>
      </c>
      <c r="D28" s="118" t="s">
        <v>185</v>
      </c>
      <c r="E28" s="117"/>
      <c r="F28" s="18" t="s">
        <v>94</v>
      </c>
      <c r="G28" s="117">
        <v>0</v>
      </c>
    </row>
    <row r="29" spans="1:7" ht="15" customHeight="1">
      <c r="A29" s="14" t="s">
        <v>198</v>
      </c>
      <c r="B29" s="16">
        <v>59</v>
      </c>
      <c r="C29" s="115">
        <v>4</v>
      </c>
      <c r="D29" s="120" t="s">
        <v>112</v>
      </c>
      <c r="E29" s="117"/>
      <c r="F29" s="18" t="s">
        <v>94</v>
      </c>
      <c r="G29" s="117">
        <v>0</v>
      </c>
    </row>
    <row r="30" spans="1:7" ht="15" customHeight="1">
      <c r="A30" s="14" t="s">
        <v>211</v>
      </c>
      <c r="B30" s="16">
        <v>60</v>
      </c>
      <c r="C30" s="115">
        <v>4</v>
      </c>
      <c r="D30" s="120" t="s">
        <v>212</v>
      </c>
      <c r="E30" s="117"/>
      <c r="F30" s="18"/>
      <c r="G30" s="117"/>
    </row>
    <row r="31" spans="1:7" ht="15" customHeight="1">
      <c r="A31" s="14" t="s">
        <v>223</v>
      </c>
      <c r="B31" s="16">
        <v>82.99</v>
      </c>
      <c r="C31" s="115">
        <v>4</v>
      </c>
      <c r="D31" s="118" t="s">
        <v>113</v>
      </c>
      <c r="E31" s="117"/>
      <c r="F31" s="18" t="s">
        <v>94</v>
      </c>
      <c r="G31" s="117">
        <v>0</v>
      </c>
    </row>
    <row r="32" spans="1:7" ht="15" customHeight="1">
      <c r="A32" s="12" t="s">
        <v>62</v>
      </c>
      <c r="B32" s="2"/>
      <c r="C32" s="2"/>
      <c r="D32" s="1"/>
      <c r="E32" s="1"/>
      <c r="F32" s="3"/>
      <c r="G32" s="1"/>
    </row>
    <row r="33" spans="1:7" ht="15" customHeight="1">
      <c r="A33" s="8" t="s">
        <v>109</v>
      </c>
      <c r="B33" s="2"/>
      <c r="C33" s="2"/>
      <c r="D33" s="1"/>
      <c r="E33" s="1"/>
      <c r="F33" s="3"/>
      <c r="G33" s="1"/>
    </row>
    <row r="34" spans="1:7" ht="15" customHeight="1">
      <c r="A34" s="8" t="s">
        <v>61</v>
      </c>
      <c r="B34" s="16"/>
      <c r="C34" s="2"/>
      <c r="D34" s="1"/>
      <c r="E34" s="1"/>
      <c r="F34" s="3"/>
      <c r="G34" s="1"/>
    </row>
    <row r="35" spans="1:7" ht="15" customHeight="1">
      <c r="A35" s="8" t="s">
        <v>191</v>
      </c>
      <c r="B35" s="16"/>
      <c r="C35" s="2"/>
      <c r="D35" s="2"/>
      <c r="E35" s="1"/>
      <c r="F35" s="3"/>
      <c r="G35" s="1"/>
    </row>
    <row r="36" spans="1:7" ht="15" customHeight="1">
      <c r="A36" s="8"/>
      <c r="B36" s="16"/>
      <c r="C36" s="2"/>
      <c r="D36" s="2"/>
      <c r="E36" s="1"/>
      <c r="F36" s="3"/>
      <c r="G36" s="1"/>
    </row>
    <row r="37" spans="1:7" ht="15" customHeight="1">
      <c r="A37" s="13" t="s">
        <v>57</v>
      </c>
      <c r="E37" s="121"/>
      <c r="F37" s="121"/>
      <c r="G37" s="117"/>
    </row>
    <row r="38" spans="1:7" ht="15" customHeight="1">
      <c r="A38" s="7" t="s">
        <v>149</v>
      </c>
      <c r="B38" s="16">
        <v>1.31</v>
      </c>
      <c r="C38" s="122">
        <v>2.62</v>
      </c>
      <c r="D38" s="118" t="s">
        <v>150</v>
      </c>
      <c r="E38" s="121"/>
      <c r="F38" s="121"/>
      <c r="G38" s="117"/>
    </row>
    <row r="39" spans="1:7" ht="15" customHeight="1">
      <c r="A39" s="7" t="s">
        <v>27</v>
      </c>
      <c r="B39" s="16">
        <v>2.2999999999999998</v>
      </c>
      <c r="C39" s="122">
        <v>2.2999999999999998</v>
      </c>
      <c r="D39" s="116" t="s">
        <v>70</v>
      </c>
      <c r="E39" s="121"/>
      <c r="F39" s="121"/>
      <c r="G39" s="117"/>
    </row>
    <row r="40" spans="1:7" ht="15" customHeight="1">
      <c r="A40" s="7" t="s">
        <v>28</v>
      </c>
      <c r="B40" s="16">
        <v>2.42</v>
      </c>
      <c r="C40" s="122">
        <v>2.42</v>
      </c>
      <c r="D40" s="116" t="s">
        <v>71</v>
      </c>
      <c r="E40" s="121"/>
      <c r="F40" s="121"/>
      <c r="G40" s="117"/>
    </row>
    <row r="41" spans="1:7" ht="15" customHeight="1">
      <c r="A41" s="7" t="s">
        <v>29</v>
      </c>
      <c r="B41" s="16">
        <v>5.29</v>
      </c>
      <c r="C41" s="122">
        <v>5.29</v>
      </c>
      <c r="D41" s="116" t="s">
        <v>64</v>
      </c>
      <c r="E41" s="121"/>
      <c r="F41" s="121"/>
      <c r="G41" s="117"/>
    </row>
    <row r="42" spans="1:7" ht="15" customHeight="1">
      <c r="A42" s="7" t="s">
        <v>59</v>
      </c>
      <c r="B42" s="16">
        <v>5.07</v>
      </c>
      <c r="C42" s="122">
        <v>5.07</v>
      </c>
      <c r="D42" s="116" t="s">
        <v>72</v>
      </c>
      <c r="E42" s="121"/>
      <c r="F42" s="121"/>
      <c r="G42" s="117"/>
    </row>
    <row r="43" spans="1:7" ht="15" customHeight="1">
      <c r="A43" s="7" t="s">
        <v>60</v>
      </c>
      <c r="B43" s="16">
        <v>3.19</v>
      </c>
      <c r="C43" s="122">
        <v>3.19</v>
      </c>
      <c r="D43" s="116" t="s">
        <v>73</v>
      </c>
      <c r="E43" s="121"/>
      <c r="F43" s="121"/>
      <c r="G43" s="117"/>
    </row>
    <row r="44" spans="1:7" ht="15" customHeight="1">
      <c r="A44" s="123" t="s">
        <v>101</v>
      </c>
      <c r="B44" s="16">
        <v>2.27</v>
      </c>
      <c r="C44" s="122">
        <v>9.08</v>
      </c>
      <c r="D44" s="120" t="s">
        <v>105</v>
      </c>
      <c r="E44" s="121"/>
      <c r="F44" s="121"/>
      <c r="G44" s="117"/>
    </row>
    <row r="45" spans="1:7" ht="15" customHeight="1">
      <c r="A45" s="123" t="s">
        <v>102</v>
      </c>
      <c r="B45" s="16">
        <v>2.27</v>
      </c>
      <c r="C45" s="115">
        <v>2.27</v>
      </c>
      <c r="D45" s="116" t="s">
        <v>105</v>
      </c>
      <c r="E45" s="121"/>
      <c r="F45" s="121"/>
      <c r="G45" s="117"/>
    </row>
    <row r="46" spans="1:7" ht="15" customHeight="1">
      <c r="A46" s="123" t="s">
        <v>33</v>
      </c>
      <c r="B46" s="16">
        <v>2.27</v>
      </c>
      <c r="C46" s="115">
        <v>2.27</v>
      </c>
      <c r="D46" s="116" t="s">
        <v>105</v>
      </c>
      <c r="E46" s="121"/>
      <c r="F46" s="121"/>
      <c r="G46" s="117"/>
    </row>
    <row r="47" spans="1:7" ht="15" customHeight="1">
      <c r="A47" s="10" t="s">
        <v>76</v>
      </c>
      <c r="B47" s="16">
        <v>1.56</v>
      </c>
      <c r="C47" s="115">
        <v>3.12</v>
      </c>
      <c r="D47" s="118" t="s">
        <v>151</v>
      </c>
      <c r="E47" s="121"/>
      <c r="F47" s="121"/>
      <c r="G47" s="117"/>
    </row>
    <row r="48" spans="1:7" ht="15" customHeight="1">
      <c r="A48" s="10" t="s">
        <v>77</v>
      </c>
      <c r="B48" s="16">
        <v>2.1</v>
      </c>
      <c r="C48" s="115">
        <v>2.1</v>
      </c>
      <c r="D48" s="116" t="s">
        <v>90</v>
      </c>
      <c r="E48" s="121"/>
      <c r="F48" s="121"/>
      <c r="G48" s="117"/>
    </row>
    <row r="49" spans="1:256" ht="15" customHeight="1">
      <c r="A49" s="10" t="s">
        <v>83</v>
      </c>
      <c r="B49" s="16">
        <v>2.19</v>
      </c>
      <c r="C49" s="115">
        <v>2.19</v>
      </c>
      <c r="D49" s="116" t="s">
        <v>75</v>
      </c>
      <c r="E49" s="121"/>
      <c r="F49" s="121"/>
      <c r="G49" s="117"/>
    </row>
    <row r="50" spans="1:256" ht="15" customHeight="1">
      <c r="A50" s="10" t="s">
        <v>153</v>
      </c>
      <c r="B50" s="16">
        <v>0.59</v>
      </c>
      <c r="C50" s="115">
        <v>1.18</v>
      </c>
      <c r="D50" s="61" t="s">
        <v>152</v>
      </c>
      <c r="E50" s="121"/>
      <c r="F50" s="121"/>
      <c r="G50" s="117"/>
    </row>
    <row r="51" spans="1:256" ht="15" customHeight="1">
      <c r="A51" s="10" t="s">
        <v>78</v>
      </c>
      <c r="B51" s="16">
        <v>4.05</v>
      </c>
      <c r="C51" s="115">
        <v>4.05</v>
      </c>
      <c r="D51" s="116" t="s">
        <v>81</v>
      </c>
      <c r="E51" s="121"/>
      <c r="F51" s="121"/>
      <c r="G51" s="117"/>
    </row>
    <row r="52" spans="1:256" ht="15" customHeight="1">
      <c r="A52" s="10" t="s">
        <v>79</v>
      </c>
      <c r="B52" s="16">
        <v>3.21</v>
      </c>
      <c r="C52" s="115">
        <v>3.21</v>
      </c>
      <c r="D52" s="116" t="s">
        <v>82</v>
      </c>
      <c r="E52" s="121"/>
      <c r="F52" s="121"/>
      <c r="G52" s="117"/>
    </row>
    <row r="53" spans="1:256" ht="15" customHeight="1">
      <c r="A53" s="10" t="s">
        <v>92</v>
      </c>
      <c r="B53" s="16">
        <v>2.17</v>
      </c>
      <c r="C53" s="115">
        <v>8.68</v>
      </c>
      <c r="D53" s="116" t="s">
        <v>104</v>
      </c>
      <c r="E53" s="121"/>
      <c r="F53" s="121"/>
      <c r="G53" s="117"/>
    </row>
    <row r="54" spans="1:256" ht="15" customHeight="1">
      <c r="A54" s="10" t="s">
        <v>93</v>
      </c>
      <c r="B54" s="16">
        <v>2.17</v>
      </c>
      <c r="C54" s="115">
        <v>2.17</v>
      </c>
      <c r="D54" s="116" t="s">
        <v>104</v>
      </c>
      <c r="E54" s="121"/>
      <c r="F54" s="121"/>
      <c r="G54" s="117"/>
    </row>
    <row r="55" spans="1:256" ht="15" customHeight="1">
      <c r="A55" s="10" t="s">
        <v>80</v>
      </c>
      <c r="B55" s="16">
        <v>2.17</v>
      </c>
      <c r="C55" s="115">
        <v>2.17</v>
      </c>
      <c r="D55" s="120" t="s">
        <v>104</v>
      </c>
      <c r="E55" s="117"/>
      <c r="F55" s="119"/>
      <c r="G55" s="117"/>
    </row>
    <row r="56" spans="1:256" ht="15" customHeight="1">
      <c r="A56" s="10"/>
      <c r="B56" s="16"/>
      <c r="C56" s="115"/>
      <c r="D56" s="120"/>
      <c r="E56" s="117"/>
      <c r="F56" s="119"/>
      <c r="G56" s="117"/>
    </row>
    <row r="57" spans="1:256" ht="15" customHeight="1">
      <c r="A57" s="35" t="s">
        <v>22</v>
      </c>
      <c r="B57" s="124">
        <v>5</v>
      </c>
      <c r="C57" s="124">
        <v>5</v>
      </c>
      <c r="D57" s="125" t="s">
        <v>65</v>
      </c>
      <c r="E57" s="35" t="s">
        <v>22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</row>
    <row r="58" spans="1:256" ht="15" customHeight="1">
      <c r="A58" s="35" t="s">
        <v>23</v>
      </c>
      <c r="B58" s="124">
        <v>8.93</v>
      </c>
      <c r="C58" s="124">
        <v>8.93</v>
      </c>
      <c r="D58" s="125" t="s">
        <v>67</v>
      </c>
      <c r="E58" s="35" t="s">
        <v>23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</row>
    <row r="59" spans="1:256" ht="15" customHeight="1">
      <c r="A59" s="35" t="s">
        <v>24</v>
      </c>
      <c r="B59" s="124">
        <v>6.13</v>
      </c>
      <c r="C59" s="124">
        <v>6.13</v>
      </c>
      <c r="D59" s="125" t="s">
        <v>66</v>
      </c>
      <c r="E59" s="35" t="s">
        <v>24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</row>
    <row r="60" spans="1:256" ht="15" customHeight="1">
      <c r="A60" s="10"/>
      <c r="B60" s="16"/>
      <c r="C60" s="2"/>
      <c r="D60" s="15"/>
      <c r="E60" s="1"/>
      <c r="F60" s="3"/>
      <c r="G60" s="1"/>
    </row>
    <row r="61" spans="1:256" ht="15" customHeight="1">
      <c r="A61" s="18" t="s">
        <v>94</v>
      </c>
      <c r="B61" s="18" t="s">
        <v>94</v>
      </c>
      <c r="C61" s="18" t="s">
        <v>94</v>
      </c>
      <c r="D61" s="18" t="s">
        <v>94</v>
      </c>
      <c r="E61" s="1"/>
      <c r="F61" s="3"/>
      <c r="G61" s="1"/>
    </row>
    <row r="62" spans="1:256" ht="15" customHeight="1">
      <c r="A62" s="18"/>
      <c r="B62" s="18"/>
      <c r="C62" s="18"/>
      <c r="D62" s="18"/>
      <c r="E62" s="1"/>
      <c r="F62" s="3"/>
      <c r="G62" s="1"/>
    </row>
    <row r="63" spans="1:256" ht="15" customHeight="1">
      <c r="A63" s="10"/>
      <c r="C63" s="2"/>
      <c r="D63" s="5"/>
      <c r="E63" s="1"/>
      <c r="F63" s="3"/>
      <c r="G63" s="1"/>
    </row>
    <row r="64" spans="1:256" ht="15" customHeight="1">
      <c r="A64" s="12" t="s">
        <v>84</v>
      </c>
      <c r="B64" s="115"/>
      <c r="C64" s="115"/>
      <c r="D64" s="117"/>
      <c r="E64" s="117"/>
      <c r="F64" s="119"/>
      <c r="G64" s="117"/>
    </row>
    <row r="65" spans="1:7" ht="15" customHeight="1">
      <c r="A65" s="8" t="s">
        <v>135</v>
      </c>
      <c r="B65" s="16">
        <v>0</v>
      </c>
      <c r="C65" s="115"/>
      <c r="D65" s="18" t="s">
        <v>94</v>
      </c>
      <c r="E65" s="117"/>
      <c r="F65" s="119"/>
      <c r="G65" s="117"/>
    </row>
    <row r="66" spans="1:7" ht="15" customHeight="1">
      <c r="A66" s="8" t="s">
        <v>85</v>
      </c>
      <c r="B66" s="16">
        <v>14.99</v>
      </c>
      <c r="C66" s="115"/>
      <c r="D66" s="118" t="s">
        <v>192</v>
      </c>
      <c r="E66" s="117"/>
      <c r="F66" s="119"/>
      <c r="G66" s="117"/>
    </row>
    <row r="67" spans="1:7" ht="15" customHeight="1">
      <c r="A67" s="8" t="s">
        <v>213</v>
      </c>
      <c r="B67" s="16">
        <v>22.22</v>
      </c>
      <c r="C67" s="115"/>
      <c r="D67" s="126" t="s">
        <v>214</v>
      </c>
      <c r="E67" s="117"/>
      <c r="F67" s="119"/>
      <c r="G67" s="117"/>
    </row>
    <row r="68" spans="1:7" ht="15" customHeight="1">
      <c r="A68" s="9" t="s">
        <v>86</v>
      </c>
      <c r="B68" s="16">
        <v>35</v>
      </c>
      <c r="C68" s="115"/>
      <c r="D68" s="127" t="s">
        <v>55</v>
      </c>
      <c r="E68" s="117"/>
      <c r="F68" s="119"/>
      <c r="G68" s="117"/>
    </row>
    <row r="69" spans="1:7" ht="15" customHeight="1">
      <c r="A69" s="9"/>
      <c r="B69" s="16"/>
      <c r="C69" s="115"/>
      <c r="D69" s="127"/>
      <c r="E69" s="117"/>
      <c r="F69" s="119"/>
      <c r="G69" s="117"/>
    </row>
    <row r="70" spans="1:7" ht="15" customHeight="1">
      <c r="A70" s="13" t="s">
        <v>122</v>
      </c>
      <c r="B70" s="16"/>
      <c r="C70" s="115"/>
      <c r="D70" s="117"/>
      <c r="E70" s="117"/>
      <c r="F70" s="119"/>
      <c r="G70" s="117"/>
    </row>
    <row r="71" spans="1:7" ht="15" customHeight="1">
      <c r="A71" s="10" t="s">
        <v>126</v>
      </c>
      <c r="B71" s="18">
        <v>0</v>
      </c>
      <c r="C71" s="115"/>
      <c r="D71" s="18" t="s">
        <v>94</v>
      </c>
      <c r="E71" s="117"/>
      <c r="F71" s="119"/>
      <c r="G71" s="117"/>
    </row>
    <row r="72" spans="1:7">
      <c r="A72" s="10" t="s">
        <v>219</v>
      </c>
      <c r="B72" s="16">
        <v>60</v>
      </c>
      <c r="C72" s="128" t="s">
        <v>215</v>
      </c>
      <c r="D72" s="118" t="s">
        <v>207</v>
      </c>
      <c r="E72" s="50" t="s">
        <v>227</v>
      </c>
      <c r="F72" s="119"/>
      <c r="G72" s="117"/>
    </row>
    <row r="73" spans="1:7" ht="15" customHeight="1">
      <c r="A73" s="10" t="s">
        <v>187</v>
      </c>
      <c r="B73" s="16">
        <v>129</v>
      </c>
      <c r="C73" s="115" t="s">
        <v>188</v>
      </c>
      <c r="D73" s="118" t="s">
        <v>189</v>
      </c>
      <c r="E73" s="117"/>
      <c r="F73" s="119"/>
      <c r="G73" s="117"/>
    </row>
    <row r="74" spans="1:7" ht="15" customHeight="1">
      <c r="A74" s="10" t="s">
        <v>216</v>
      </c>
      <c r="B74" s="16">
        <v>115</v>
      </c>
      <c r="C74" s="128" t="s">
        <v>218</v>
      </c>
      <c r="D74" s="118" t="s">
        <v>217</v>
      </c>
      <c r="E74" s="117"/>
      <c r="F74" s="119"/>
      <c r="G74" s="117"/>
    </row>
    <row r="75" spans="1:7" ht="15" customHeight="1">
      <c r="A75" s="10" t="s">
        <v>123</v>
      </c>
      <c r="B75" s="16">
        <v>39.99</v>
      </c>
      <c r="C75" s="128" t="s">
        <v>226</v>
      </c>
      <c r="D75" s="118" t="s">
        <v>225</v>
      </c>
      <c r="E75" s="117"/>
      <c r="F75" s="119"/>
      <c r="G75" s="117"/>
    </row>
    <row r="76" spans="1:7">
      <c r="A76" s="10" t="s">
        <v>123</v>
      </c>
      <c r="B76" s="16">
        <v>130</v>
      </c>
      <c r="C76" s="115" t="s">
        <v>125</v>
      </c>
      <c r="D76" s="118" t="s">
        <v>124</v>
      </c>
      <c r="E76" s="117"/>
      <c r="F76" s="119"/>
      <c r="G76" s="117"/>
    </row>
    <row r="77" spans="1:7">
      <c r="A77" s="10" t="s">
        <v>168</v>
      </c>
      <c r="B77" s="16">
        <v>79.989999999999995</v>
      </c>
      <c r="C77" s="115" t="s">
        <v>190</v>
      </c>
      <c r="D77" s="118" t="s">
        <v>169</v>
      </c>
      <c r="E77" s="117"/>
      <c r="F77" s="119"/>
      <c r="G77" s="117"/>
    </row>
    <row r="78" spans="1:7">
      <c r="A78" s="10"/>
      <c r="D78" s="4"/>
    </row>
    <row r="79" spans="1:7">
      <c r="A79" s="10"/>
      <c r="D79" s="4"/>
    </row>
    <row r="80" spans="1:7">
      <c r="A80" s="13" t="s">
        <v>170</v>
      </c>
    </row>
    <row r="81" spans="1:6" ht="15" customHeight="1">
      <c r="A81" s="49">
        <v>39</v>
      </c>
      <c r="B81" s="50" t="str">
        <f>IF(C80 = "RAMPS 1.4 Kit","--------","Metal crimps")</f>
        <v>Metal crimps</v>
      </c>
      <c r="C81" s="52" t="str">
        <f>IF(C80 = "RAMPS 1.4 Kit","--------","Connectors for Printrboard")</f>
        <v>Connectors for Printrboard</v>
      </c>
      <c r="D81" s="53" t="str">
        <f>IF(C80 = "RAMPS 1.4 Kit","0","0.1394")</f>
        <v>0.1394</v>
      </c>
      <c r="E81" s="49">
        <f t="shared" ref="E81:E88" si="0">A81*D81</f>
        <v>5.4365999999999994</v>
      </c>
      <c r="F81" s="38" t="str">
        <f>IF(C80="RAMPS 1.4 Kit","--------",HYPERLINK("http://www.digikey.com/product-detail/en/0008500114/WM1114-ND/26475?cur=USD"))</f>
        <v>http://www.digikey.com/product-detail/en/0008500114/WM1114-ND/26475?cur=USD</v>
      </c>
    </row>
    <row r="82" spans="1:6" ht="15" customHeight="1">
      <c r="A82" s="49">
        <v>6</v>
      </c>
      <c r="B82" s="50" t="str">
        <f>IF(C80 = "RAMPS 1.4 Kit","--------","4-pin housing")</f>
        <v>4-pin housing</v>
      </c>
      <c r="C82" s="52" t="str">
        <f>IF(C80 = "RAMPS 1.4 Kit","--------","Connectors for Printrboard")</f>
        <v>Connectors for Printrboard</v>
      </c>
      <c r="D82" s="53" t="str">
        <f>IF(C80 = "RAMPS 1.4 Kit","0","0.187")</f>
        <v>0.187</v>
      </c>
      <c r="E82" s="49">
        <f t="shared" si="0"/>
        <v>1.1219999999999999</v>
      </c>
      <c r="F82" s="32" t="str">
        <f>IF(C80="RAMPS 1.4 Kit","--------",HYPERLINK("http://www.digikey.com/product-detail/en/0022013047/WM2002-ND/26435?cur=USD"))</f>
        <v>http://www.digikey.com/product-detail/en/0022013047/WM2002-ND/26435?cur=USD</v>
      </c>
    </row>
    <row r="83" spans="1:6" ht="15" customHeight="1">
      <c r="A83" s="49">
        <v>3</v>
      </c>
      <c r="B83" s="50" t="str">
        <f>IF(C80 = "RAMPS 1.4 Kit","--------","3-pin housing")</f>
        <v>3-pin housing</v>
      </c>
      <c r="C83" s="52" t="str">
        <f>IF(C80 = "RAMPS 1.4 Kit","--------","Connectors for Printrboard")</f>
        <v>Connectors for Printrboard</v>
      </c>
      <c r="D83" s="53" t="str">
        <f>IF(C80 = "RAMPS 1.4 Kit","0","0.174")</f>
        <v>0.174</v>
      </c>
      <c r="E83" s="49">
        <f t="shared" si="0"/>
        <v>0.52200000000000002</v>
      </c>
      <c r="F83" s="32" t="str">
        <f>IF(C80="RAMPS 1.4 Kit","--------",HYPERLINK("http://www.digikey.com/product-detail/en/0022013037/WM2001-ND/26433?cur=USD"))</f>
        <v>http://www.digikey.com/product-detail/en/0022013037/WM2001-ND/26433?cur=USD</v>
      </c>
    </row>
    <row r="84" spans="1:6" ht="15" customHeight="1">
      <c r="A84" s="49">
        <v>5</v>
      </c>
      <c r="B84" s="50" t="s">
        <v>133</v>
      </c>
      <c r="C84" s="52" t="str">
        <f>IF(C80 = "RAMPS 1.4 Kit","Hotend connectors","Connectors for Printrboard &amp; Hotend")</f>
        <v>Connectors for Printrboard &amp; Hotend</v>
      </c>
      <c r="D84" s="53" t="str">
        <f>IF(C80 = "RAMPS 1.4 Kit","0","0.12")</f>
        <v>0.12</v>
      </c>
      <c r="E84" s="49">
        <f t="shared" si="0"/>
        <v>0.6</v>
      </c>
      <c r="F84" s="38" t="s">
        <v>134</v>
      </c>
    </row>
    <row r="85" spans="1:6" ht="15" customHeight="1">
      <c r="A85" s="49">
        <v>1</v>
      </c>
      <c r="B85" s="50" t="str">
        <f>IF(C80 = "RAMPS 1.4 Kit","--------","4-pin header")</f>
        <v>4-pin header</v>
      </c>
      <c r="C85" s="52" t="str">
        <f>IF(C80 = "RAMPS 1.4 Kit","--------","Connectors for Printrboard")</f>
        <v>Connectors for Printrboard</v>
      </c>
      <c r="D85" s="53" t="str">
        <f>IF(C80 = "RAMPS 1.4 Kit","0","0.42")</f>
        <v>0.42</v>
      </c>
      <c r="E85" s="49">
        <f t="shared" si="0"/>
        <v>0.42</v>
      </c>
      <c r="F85" s="38" t="str">
        <f>IF(C80="RAMPS 1.4 Kit","--------",HYPERLINK("http://www.digikey.com/product-detail/en/0022272041/WM4113-ND/1130579"))</f>
        <v>http://www.digikey.com/product-detail/en/0022272041/WM4113-ND/1130579</v>
      </c>
    </row>
    <row r="86" spans="1:6" ht="15" customHeight="1">
      <c r="A86" s="49">
        <v>4</v>
      </c>
      <c r="B86" s="50" t="s">
        <v>114</v>
      </c>
      <c r="C86" s="52" t="s">
        <v>129</v>
      </c>
      <c r="D86" s="53">
        <v>0.25</v>
      </c>
      <c r="E86" s="49">
        <f t="shared" si="0"/>
        <v>1</v>
      </c>
      <c r="F86" s="38" t="s">
        <v>115</v>
      </c>
    </row>
    <row r="87" spans="1:6" ht="15" customHeight="1">
      <c r="A87" s="49">
        <v>2</v>
      </c>
      <c r="B87" s="50" t="s">
        <v>49</v>
      </c>
      <c r="C87" s="52" t="s">
        <v>132</v>
      </c>
      <c r="D87" s="53">
        <v>0</v>
      </c>
      <c r="E87" s="49">
        <f t="shared" si="0"/>
        <v>0</v>
      </c>
      <c r="F87" s="54" t="s">
        <v>128</v>
      </c>
    </row>
    <row r="88" spans="1:6" ht="15" customHeight="1">
      <c r="A88" s="49">
        <v>4</v>
      </c>
      <c r="B88" s="50" t="str">
        <f>IF(C80 = "RAMPS 1.4 Kit","--------","24 gauge wires")</f>
        <v>24 gauge wires</v>
      </c>
      <c r="C88" s="52" t="s">
        <v>130</v>
      </c>
      <c r="D88" s="53">
        <v>0</v>
      </c>
      <c r="E88" s="49">
        <f t="shared" si="0"/>
        <v>0</v>
      </c>
      <c r="F88" s="54" t="s">
        <v>128</v>
      </c>
    </row>
    <row r="92" spans="1:6">
      <c r="A92" s="67" t="s">
        <v>171</v>
      </c>
    </row>
    <row r="93" spans="1:6">
      <c r="A93" s="4" t="s">
        <v>172</v>
      </c>
    </row>
    <row r="94" spans="1:6">
      <c r="A94" s="4" t="s">
        <v>173</v>
      </c>
    </row>
    <row r="95" spans="1:6">
      <c r="A95" s="4" t="s">
        <v>174</v>
      </c>
    </row>
    <row r="96" spans="1:6">
      <c r="A96" s="4"/>
    </row>
    <row r="97" spans="1:1">
      <c r="A97" s="67" t="s">
        <v>186</v>
      </c>
    </row>
    <row r="98" spans="1:1">
      <c r="A98" s="4" t="s">
        <v>185</v>
      </c>
    </row>
    <row r="99" spans="1:1">
      <c r="A99" s="4" t="s">
        <v>111</v>
      </c>
    </row>
  </sheetData>
  <phoneticPr fontId="8" type="noConversion"/>
  <hyperlinks>
    <hyperlink ref="D4" r:id="rId1" location="88685K1"/>
    <hyperlink ref="D5" r:id="rId2"/>
    <hyperlink ref="D6" r:id="rId3"/>
    <hyperlink ref="G5" r:id="rId4" location="8476K16"/>
    <hyperlink ref="D16" r:id="rId5"/>
    <hyperlink ref="D15" r:id="rId6"/>
    <hyperlink ref="A19" r:id="rId7"/>
    <hyperlink ref="A20" r:id="rId8"/>
    <hyperlink ref="F81" r:id="rId9" display="http://www.digikey.com/product-detail/en/0008500114/WM1114-ND/26475?cur=USD"/>
    <hyperlink ref="F82" r:id="rId10" display="http://www.digikey.com/product-detail/en/0022013047/WM2002-ND/26435?cur=USD"/>
    <hyperlink ref="F83" r:id="rId11" display="http://www.digikey.com/product-detail/en/0022013037/WM2001-ND/26433?cur=USD"/>
    <hyperlink ref="F84" r:id="rId12"/>
    <hyperlink ref="F85" r:id="rId13" display="http://www.digikey.com/product-detail/en/0022272041/WM4113-ND/1130579"/>
    <hyperlink ref="F86" r:id="rId14"/>
    <hyperlink ref="A93" r:id="rId15"/>
    <hyperlink ref="A94" r:id="rId16"/>
    <hyperlink ref="A95" r:id="rId17"/>
    <hyperlink ref="A98" r:id="rId18"/>
    <hyperlink ref="A99" r:id="rId19"/>
    <hyperlink ref="D23" r:id="rId20"/>
    <hyperlink ref="D29" r:id="rId21"/>
    <hyperlink ref="D31" r:id="rId22"/>
    <hyperlink ref="D24" r:id="rId23"/>
    <hyperlink ref="D28" r:id="rId24"/>
    <hyperlink ref="E24" r:id="rId25"/>
    <hyperlink ref="E25" r:id="rId26"/>
    <hyperlink ref="E27" r:id="rId27"/>
    <hyperlink ref="E26" r:id="rId28"/>
    <hyperlink ref="D26" r:id="rId29"/>
    <hyperlink ref="D39" r:id="rId30" location="90591A151"/>
    <hyperlink ref="D41" r:id="rId31" location="92820A435"/>
    <hyperlink ref="D49" r:id="rId32" location="90108A411"/>
    <hyperlink ref="D40" r:id="rId33" location="91166A250"/>
    <hyperlink ref="D42" r:id="rId34" location="90591A161"/>
    <hyperlink ref="D43" r:id="rId35" location="91166A270"/>
    <hyperlink ref="D51" r:id="rId36" location="90473A030"/>
    <hyperlink ref="D52" r:id="rId37" location="90108A413"/>
    <hyperlink ref="D55" r:id="rId38" location="98957A634"/>
    <hyperlink ref="D38" r:id="rId39"/>
    <hyperlink ref="D47" r:id="rId40"/>
    <hyperlink ref="D50" r:id="rId41"/>
    <hyperlink ref="D59" r:id="rId42" location="92095A186"/>
    <hyperlink ref="D58" r:id="rId43" location="91292A029"/>
    <hyperlink ref="D57" r:id="rId44" location="91292A113"/>
    <hyperlink ref="D44" r:id="rId45" location="98861A080"/>
    <hyperlink ref="D68" r:id="rId46"/>
    <hyperlink ref="D66" r:id="rId47"/>
    <hyperlink ref="D76" r:id="rId48"/>
    <hyperlink ref="D73" r:id="rId49"/>
    <hyperlink ref="D72" r:id="rId50"/>
    <hyperlink ref="D11" r:id="rId51"/>
    <hyperlink ref="D10" r:id="rId52" location="compression-springs/=oqdvnx" display="http://www.mcmaster.com/ - compression-springs/=oqdvnx"/>
  </hyperlinks>
  <pageMargins left="0.75" right="0.75" top="1" bottom="1" header="0.5" footer="0.5"/>
  <pageSetup orientation="portrait" r:id="rId53"/>
  <headerFooter alignWithMargins="0"/>
  <legacy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BOM</vt:lpstr>
      <vt:lpstr>Master Data Sheet</vt:lpstr>
      <vt:lpstr>_Bed2</vt:lpstr>
      <vt:lpstr>Bed</vt:lpstr>
      <vt:lpstr>Board</vt:lpstr>
      <vt:lpstr>Board2</vt:lpstr>
      <vt:lpstr>Extruder</vt:lpstr>
      <vt:lpstr>Power</vt:lpstr>
      <vt:lpstr>Pulleys</vt:lpstr>
      <vt:lpstr>Units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lauc</cp:lastModifiedBy>
  <cp:lastPrinted>2013-09-16T18:30:35Z</cp:lastPrinted>
  <dcterms:created xsi:type="dcterms:W3CDTF">2013-05-03T19:21:10Z</dcterms:created>
  <dcterms:modified xsi:type="dcterms:W3CDTF">2014-10-08T14:58:13Z</dcterms:modified>
</cp:coreProperties>
</file>